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Users\kevin\Google Drive\Infoprop\Company Policies and Documents\6-Zonings, Maps &amp; Laws\Agulhas\IDP and Budget\IDP 2024-2025\Budget\"/>
    </mc:Choice>
  </mc:AlternateContent>
  <xr:revisionPtr revIDLastSave="0" documentId="13_ncr:1_{5BA26F46-DC83-4468-935C-79103653E357}" xr6:coauthVersionLast="47" xr6:coauthVersionMax="47" xr10:uidLastSave="{00000000-0000-0000-0000-000000000000}"/>
  <bookViews>
    <workbookView xWindow="-120" yWindow="-120" windowWidth="29040" windowHeight="15720" activeTab="6" xr2:uid="{406D2071-B7E7-450F-B58C-EF999A8FC377}"/>
  </bookViews>
  <sheets>
    <sheet name="Tariff" sheetId="5" r:id="rId1"/>
    <sheet name="Increases" sheetId="8" r:id="rId2"/>
    <sheet name="Valution" sheetId="7" r:id="rId3"/>
    <sheet name="Water" sheetId="1" r:id="rId4"/>
    <sheet name="Refuse" sheetId="2" r:id="rId5"/>
    <sheet name="Sewerage" sheetId="3" r:id="rId6"/>
    <sheet name="Electricity" sheetId="4" r:id="rId7"/>
    <sheet name="Lookup" sheetId="6"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8" i="5" l="1"/>
  <c r="H29" i="5"/>
  <c r="H30" i="5"/>
  <c r="H31" i="5"/>
  <c r="H32" i="5"/>
  <c r="H33" i="5"/>
  <c r="H37" i="5"/>
  <c r="H38" i="5"/>
  <c r="H40" i="5"/>
  <c r="H41" i="5"/>
  <c r="H42" i="5"/>
  <c r="H50" i="5"/>
  <c r="H52" i="5"/>
  <c r="H55" i="5"/>
  <c r="J4" i="4"/>
  <c r="J5" i="4"/>
  <c r="J6" i="4"/>
  <c r="J7" i="4"/>
  <c r="J8" i="4"/>
  <c r="J9" i="4"/>
  <c r="J10" i="4"/>
  <c r="J11" i="4"/>
  <c r="J12" i="4"/>
  <c r="J13" i="4"/>
  <c r="E5" i="4"/>
  <c r="E6" i="4"/>
  <c r="E7" i="4"/>
  <c r="E8" i="4"/>
  <c r="E9" i="4"/>
  <c r="E10" i="4"/>
  <c r="E11" i="4"/>
  <c r="E12" i="4"/>
  <c r="E13" i="4"/>
  <c r="E14" i="4"/>
  <c r="E15" i="4"/>
  <c r="E16" i="4"/>
  <c r="E17" i="4"/>
  <c r="E18" i="4"/>
  <c r="E19" i="4"/>
  <c r="E20" i="4"/>
  <c r="E21" i="4"/>
  <c r="E22" i="4"/>
  <c r="E23" i="4"/>
  <c r="E24" i="4"/>
  <c r="E25" i="4"/>
  <c r="E26" i="4"/>
  <c r="E27" i="4"/>
  <c r="E28" i="4"/>
  <c r="E29" i="4"/>
  <c r="E30" i="4"/>
  <c r="E31" i="4"/>
  <c r="E32" i="4"/>
  <c r="E33" i="4"/>
  <c r="E34" i="4"/>
  <c r="E35" i="4"/>
  <c r="E36" i="4"/>
  <c r="E37" i="4"/>
  <c r="E38" i="4"/>
  <c r="E39" i="4"/>
  <c r="E40" i="4"/>
  <c r="E41" i="4"/>
  <c r="E42" i="4"/>
  <c r="E43" i="4"/>
  <c r="E44" i="4"/>
  <c r="E45" i="4"/>
  <c r="E46" i="4"/>
  <c r="E47" i="4"/>
  <c r="E48" i="4"/>
  <c r="E49" i="4"/>
  <c r="E50" i="4"/>
  <c r="G15" i="3" l="1"/>
  <c r="Q6" i="1"/>
  <c r="Q3" i="1"/>
  <c r="AI18" i="5" l="1"/>
  <c r="AH18" i="5"/>
  <c r="AH17" i="5"/>
  <c r="O4" i="4"/>
  <c r="A23" i="5" l="1"/>
  <c r="G58" i="5"/>
  <c r="G54" i="5"/>
  <c r="G49" i="5"/>
  <c r="G36" i="5"/>
  <c r="G27" i="5"/>
  <c r="O61" i="5"/>
  <c r="O58" i="5"/>
  <c r="O59" i="5"/>
  <c r="N59" i="5"/>
  <c r="L59" i="5"/>
  <c r="K59" i="5"/>
  <c r="N19" i="5"/>
  <c r="X39" i="5"/>
  <c r="W39" i="5"/>
  <c r="R39" i="5"/>
  <c r="Q39" i="5"/>
  <c r="N28" i="5"/>
  <c r="O28" i="5"/>
  <c r="P30" i="5"/>
  <c r="P31" i="5" s="1"/>
  <c r="P32" i="5" s="1"/>
  <c r="N21" i="5"/>
  <c r="L55" i="5"/>
  <c r="K55" i="5"/>
  <c r="L50" i="5"/>
  <c r="K50" i="5"/>
  <c r="L37" i="5"/>
  <c r="K37" i="5"/>
  <c r="L28" i="5"/>
  <c r="K28" i="5"/>
  <c r="N30" i="5" l="1"/>
  <c r="D30" i="5" s="1"/>
  <c r="I30" i="5" s="1"/>
  <c r="Q28" i="5"/>
  <c r="O50" i="5"/>
  <c r="N50" i="5"/>
  <c r="N55" i="5"/>
  <c r="R28" i="5"/>
  <c r="U28" i="5" s="1"/>
  <c r="U29" i="5" s="1"/>
  <c r="O52" i="5"/>
  <c r="C52" i="5" s="1"/>
  <c r="N52" i="5"/>
  <c r="O55" i="5"/>
  <c r="N37" i="5"/>
  <c r="O37" i="5"/>
  <c r="O30" i="5"/>
  <c r="O33" i="5"/>
  <c r="N32" i="5"/>
  <c r="N31" i="5"/>
  <c r="O32" i="5"/>
  <c r="O31" i="5"/>
  <c r="N33" i="5"/>
  <c r="P33" i="5"/>
  <c r="B33" i="5" l="1"/>
  <c r="E55" i="5"/>
  <c r="I55" i="5" s="1"/>
  <c r="E52" i="5"/>
  <c r="I52" i="5" s="1"/>
  <c r="E50" i="5"/>
  <c r="I50" i="5" s="1"/>
  <c r="D33" i="5"/>
  <c r="I33" i="5" s="1"/>
  <c r="D32" i="5"/>
  <c r="I32" i="5" s="1"/>
  <c r="B30" i="5"/>
  <c r="D31" i="5"/>
  <c r="I31" i="5" s="1"/>
  <c r="Q34" i="5"/>
  <c r="D34" i="5" s="1"/>
  <c r="B31" i="5"/>
  <c r="B32" i="5"/>
  <c r="C55" i="5"/>
  <c r="C50" i="5"/>
  <c r="C28" i="5"/>
  <c r="F52" i="5"/>
  <c r="R34" i="5"/>
  <c r="T28" i="5"/>
  <c r="T29" i="5" s="1"/>
  <c r="D29" i="5" s="1"/>
  <c r="M40" i="5"/>
  <c r="M43" i="5"/>
  <c r="O43" i="5" s="1"/>
  <c r="M45" i="5"/>
  <c r="N45" i="5" s="1"/>
  <c r="M39" i="5"/>
  <c r="P39" i="5" s="1"/>
  <c r="M41" i="5"/>
  <c r="O41" i="5" s="1"/>
  <c r="M42" i="5"/>
  <c r="N42" i="5" s="1"/>
  <c r="M47" i="5"/>
  <c r="N47" i="5" s="1"/>
  <c r="M44" i="5"/>
  <c r="O44" i="5" s="1"/>
  <c r="M46" i="5"/>
  <c r="N46" i="5" s="1"/>
  <c r="T21" i="5"/>
  <c r="B29" i="5"/>
  <c r="E29" i="5" l="1"/>
  <c r="I29" i="5" s="1"/>
  <c r="F31" i="5"/>
  <c r="B34" i="5"/>
  <c r="F34" i="5" s="1"/>
  <c r="F55" i="5"/>
  <c r="E28" i="5"/>
  <c r="F32" i="5"/>
  <c r="F30" i="5"/>
  <c r="F50" i="5"/>
  <c r="N41" i="5"/>
  <c r="U56" i="5"/>
  <c r="C56" i="5" s="1"/>
  <c r="T56" i="5"/>
  <c r="E56" i="5" s="1"/>
  <c r="U59" i="5"/>
  <c r="T59" i="5"/>
  <c r="E59" i="5" s="1"/>
  <c r="N44" i="5"/>
  <c r="W51" i="5"/>
  <c r="W52" i="5"/>
  <c r="V52" i="5"/>
  <c r="V51" i="5"/>
  <c r="O46" i="5"/>
  <c r="O42" i="5"/>
  <c r="N39" i="5"/>
  <c r="P40" i="5"/>
  <c r="P41" i="5" s="1"/>
  <c r="O47" i="5"/>
  <c r="N43" i="5"/>
  <c r="O40" i="5"/>
  <c r="O45" i="5"/>
  <c r="N40" i="5"/>
  <c r="O39" i="5"/>
  <c r="T37" i="5"/>
  <c r="E37" i="5" s="1"/>
  <c r="U37" i="5"/>
  <c r="F33" i="5"/>
  <c r="C59" i="5" l="1"/>
  <c r="B59" i="5"/>
  <c r="C29" i="5"/>
  <c r="C37" i="5"/>
  <c r="F28" i="5"/>
  <c r="I28" i="5"/>
  <c r="F56" i="5"/>
  <c r="F54" i="5" s="1"/>
  <c r="D59" i="5"/>
  <c r="T51" i="5"/>
  <c r="E51" i="5" s="1"/>
  <c r="U51" i="5"/>
  <c r="C51" i="5" s="1"/>
  <c r="S40" i="5"/>
  <c r="T40" i="5" s="1"/>
  <c r="S41" i="5"/>
  <c r="U41" i="5" s="1"/>
  <c r="S42" i="5"/>
  <c r="T42" i="5" s="1"/>
  <c r="S44" i="5"/>
  <c r="U44" i="5" s="1"/>
  <c r="S46" i="5"/>
  <c r="T46" i="5" s="1"/>
  <c r="S39" i="5"/>
  <c r="V39" i="5" s="1"/>
  <c r="S43" i="5"/>
  <c r="U43" i="5" s="1"/>
  <c r="S45" i="5"/>
  <c r="U45" i="5" s="1"/>
  <c r="S47" i="5"/>
  <c r="U47" i="5" s="1"/>
  <c r="P42" i="5"/>
  <c r="P43" i="5" s="1"/>
  <c r="F29" i="5" l="1"/>
  <c r="F27" i="5" s="1"/>
  <c r="F51" i="5"/>
  <c r="F49" i="5" s="1"/>
  <c r="F37" i="5"/>
  <c r="I37" i="5"/>
  <c r="U42" i="5"/>
  <c r="F59" i="5"/>
  <c r="F58" i="5" s="1"/>
  <c r="U46" i="5"/>
  <c r="T44" i="5"/>
  <c r="U40" i="5"/>
  <c r="V40" i="5"/>
  <c r="V41" i="5" s="1"/>
  <c r="B41" i="5" s="1"/>
  <c r="T41" i="5"/>
  <c r="T39" i="5"/>
  <c r="D39" i="5" s="1"/>
  <c r="U39" i="5"/>
  <c r="B39" i="5" s="1"/>
  <c r="T45" i="5"/>
  <c r="T43" i="5"/>
  <c r="T47" i="5"/>
  <c r="P44" i="5"/>
  <c r="P45" i="5" s="1"/>
  <c r="P46" i="5" s="1"/>
  <c r="D41" i="5" l="1"/>
  <c r="I41" i="5" s="1"/>
  <c r="B40" i="5"/>
  <c r="D40" i="5"/>
  <c r="I40" i="5" s="1"/>
  <c r="F39" i="5"/>
  <c r="V42" i="5"/>
  <c r="B42" i="5" s="1"/>
  <c r="P47" i="5"/>
  <c r="V43" i="5" l="1"/>
  <c r="D42" i="5"/>
  <c r="I42" i="5" s="1"/>
  <c r="F40" i="5"/>
  <c r="F41" i="5"/>
  <c r="D43" i="5" l="1"/>
  <c r="B43" i="5"/>
  <c r="V44" i="5"/>
  <c r="V45" i="5" s="1"/>
  <c r="F42" i="5"/>
  <c r="F43" i="5" l="1"/>
  <c r="D45" i="5"/>
  <c r="B45" i="5"/>
  <c r="F45" i="5" s="1"/>
  <c r="D44" i="5"/>
  <c r="B44" i="5"/>
  <c r="F44" i="5" s="1"/>
  <c r="V46" i="5"/>
  <c r="D46" i="5" l="1"/>
  <c r="B46" i="5"/>
  <c r="V47" i="5"/>
  <c r="D47" i="5" l="1"/>
  <c r="E38" i="5" s="1"/>
  <c r="B47" i="5"/>
  <c r="F46" i="5"/>
  <c r="F47" i="5" l="1"/>
  <c r="E25" i="5"/>
  <c r="I38" i="5"/>
  <c r="C38" i="5"/>
  <c r="C25" i="5" l="1"/>
  <c r="F25" i="5" s="1"/>
  <c r="F38" i="5"/>
  <c r="F36" i="5" s="1"/>
</calcChain>
</file>

<file path=xl/sharedStrings.xml><?xml version="1.0" encoding="utf-8"?>
<sst xmlns="http://schemas.openxmlformats.org/spreadsheetml/2006/main" count="244" uniqueCount="183">
  <si>
    <t>Availability fee per month, per erf/meter connection</t>
  </si>
  <si>
    <t>Consumption (per month  per kl):</t>
  </si>
  <si>
    <t>-   1 to 	3 kl (free per month, not transferable)</t>
  </si>
  <si>
    <t>-   4 to 	6 kl</t>
  </si>
  <si>
    <t>-   7 to   20 kl</t>
  </si>
  <si>
    <t>- 21 to   30 kl</t>
  </si>
  <si>
    <t>- 31 to   40 kl</t>
  </si>
  <si>
    <t>- 41 to   50 kl</t>
  </si>
  <si>
    <t>- 51 to   60 kl</t>
  </si>
  <si>
    <t>- 61 to   70 kl</t>
  </si>
  <si>
    <t>- 71 and more</t>
  </si>
  <si>
    <t>WATER</t>
  </si>
  <si>
    <t>Phase 1 restriction (above 40 kl, 20% surcharge on applicable tariff)</t>
  </si>
  <si>
    <t>Phase 2 restriction (above 40 kl, 30% surcharge on applicable tariff)</t>
  </si>
  <si>
    <t>Phase 4 restriction (above 20 kl, 40% surcharge on applicable tariff)</t>
  </si>
  <si>
    <t>Phase 3 restriction (above 20 kl, 30% surcharge on applicable tariff)</t>
  </si>
  <si>
    <t>Residential</t>
  </si>
  <si>
    <t>Afvailability fee per month per erf /per meter connection</t>
  </si>
  <si>
    <t>Consumption (per month per kl):</t>
  </si>
  <si>
    <t>- 0 to  50 kl</t>
  </si>
  <si>
    <t>-  51 to 100 kl</t>
  </si>
  <si>
    <t>- 101 to 150 kl</t>
  </si>
  <si>
    <t>- 151 to 200 kl</t>
  </si>
  <si>
    <t>- 201 to 300 kl</t>
  </si>
  <si>
    <t>- 301 to 400 kl</t>
  </si>
  <si>
    <t>- 401 to 500 kl</t>
  </si>
  <si>
    <t>- 501 to 3000 kl</t>
  </si>
  <si>
    <t>- 3001 kl and more</t>
  </si>
  <si>
    <t>Business</t>
  </si>
  <si>
    <t>Phase 1 restriction (above 100 kl, 20% surcharge on applicable tariff)</t>
  </si>
  <si>
    <t>Phase 2 restriction (above 100 kl, 30% surcharge on applicable tariff)</t>
  </si>
  <si>
    <t>Phase 3 restriction (above 50 kl, 30% surcharge on applicable tariff)</t>
  </si>
  <si>
    <t>Phase 4 restriction (above 20 kl, 50% surcharge on applicable tariff)</t>
  </si>
  <si>
    <t>- for one (1) removal per week – in prescribed  plastic bag with a minimum of one container)</t>
  </si>
  <si>
    <t>REFUSE</t>
  </si>
  <si>
    <t>- per container for one (1) removal per week (with a minimum of one container)</t>
  </si>
  <si>
    <t>House with business: Both tariffs in 2.1(i) and 2.1(ii) will be applied</t>
  </si>
  <si>
    <r>
      <t>Sewage pumping services (per load or part thereof):</t>
    </r>
    <r>
      <rPr>
        <sz val="10"/>
        <color theme="1"/>
        <rFont val="Calibri"/>
        <family val="2"/>
      </rPr>
      <t xml:space="preserve"> </t>
    </r>
    <r>
      <rPr>
        <u/>
        <sz val="10"/>
        <color theme="1"/>
        <rFont val="Calibri"/>
        <family val="2"/>
      </rPr>
      <t>During normal working hours:</t>
    </r>
  </si>
  <si>
    <t>- per load (5000 litre)</t>
  </si>
  <si>
    <t>- per load (8000 litre)</t>
  </si>
  <si>
    <r>
      <t>Outside normal working hours</t>
    </r>
    <r>
      <rPr>
        <sz val="9"/>
        <color theme="1"/>
        <rFont val="Times New Roman"/>
        <family val="1"/>
      </rPr>
      <t>:</t>
    </r>
  </si>
  <si>
    <t>- per load (5000L) or part thereof (after normal working hours &amp; Saturdays)</t>
  </si>
  <si>
    <t>- per load (5000L) or part thereof (on Sundays &amp; public holidays)</t>
  </si>
  <si>
    <t>- per load (8000L) or part thereof (after normal working hours &amp; Saturdays</t>
  </si>
  <si>
    <t>- per load (8000L) or part thereof (on Sundays &amp; public holidays)</t>
  </si>
  <si>
    <t>SEWERAGE</t>
  </si>
  <si>
    <t>Businesses:
Business, Office, Lodging-house, Guest House, Organisation,
Shop, Restaurant- and Factory sites, and any other sites
excluding in (i) or (ii):</t>
  </si>
  <si>
    <t>- per cistern</t>
  </si>
  <si>
    <t>- per urinal</t>
  </si>
  <si>
    <t>Sewage tariffs (monthly tariffs)</t>
  </si>
  <si>
    <t>(Included a fix infrastructure levy in terms of upgrading of assests – external borrowing cost)</t>
  </si>
  <si>
    <t>ELECTRICITY</t>
  </si>
  <si>
    <t>Tariff B: Small consumer (Businesses, including guest houses)
Small electricity consumers can apply for a maximum of 50 kVA(80Amp) three phase after which the consumer can change over to a bulk consumer at his/her own cost. Including any additional infrastructure fees.</t>
  </si>
  <si>
    <t>Tariff C1: Domestic (conventional meters)
Only for MAXIMUM supply demand of 20 Amp</t>
  </si>
  <si>
    <t>Single Phase
Energy price (R/kWh consumption)</t>
  </si>
  <si>
    <t>1 to 50 kWh</t>
  </si>
  <si>
    <t>Above 50,1 kWh to 350 kWh</t>
  </si>
  <si>
    <t>Above 350,1kWh to 600kWh</t>
  </si>
  <si>
    <t>Above 600,1kWh</t>
  </si>
  <si>
    <t>50kWh free for indigent housholdings as per register - not transferable.   Expires when 
demand increases from 20Amp </t>
  </si>
  <si>
    <t>Network demand charge (per meter connection)
(No availability fee for 20 Amp connection)</t>
  </si>
  <si>
    <t>Single phase per Amp (maximum 70Amp)</t>
  </si>
  <si>
    <t>Three phase per Amp (Maximum 60Amp/phase)</t>
  </si>
  <si>
    <t>Energy price (R/kWh consumption)
Three Phase</t>
  </si>
  <si>
    <t>Tariff C2: Domestic (pre-paid)
Only for MAXIMUM supply demand of 20Amp</t>
  </si>
  <si>
    <t>Single phase
Energy price (c/kWh consumption)</t>
  </si>
  <si>
    <t>50kWh free for indigent housholdings as per register - not transferable.   Expires when 
demand increases from 20Amp</t>
  </si>
  <si>
    <t>Only for MAXIMUM suppy demand of 30Amp</t>
  </si>
  <si>
    <t>Please note: No indigent allowance or Masakhane cases may be placed on this tariff, as
per the Masakhane policy.
The purchase voucher expires after 3 months without any refund</t>
  </si>
  <si>
    <t>Network demand charge (above 30Amp supply demand)
For all meters, regardless when the meter was installed</t>
  </si>
  <si>
    <t>Single phase per Amp</t>
  </si>
  <si>
    <t>Three phase per Amp</t>
  </si>
  <si>
    <t/>
  </si>
  <si>
    <t>Engergy price (R/kWh)</t>
  </si>
  <si>
    <t>Network demand charge
** These tariffs shall not apply to properties of the Council, unless such property is let by the Council, in which case the lessor will be liable to pay the prescribed tariffs.
** Private cemeteries will be exempted from the payment of the below-mentioned tariffs provided that the property is utilized solely for this purpose, except where an electrical-, water- and/or sewerage connection existes, in which case the prescribed tariffs will apply.</t>
  </si>
  <si>
    <t>Vacant plots:
The below-mentioned monthly fees are payable by the registered owner of a vacant plot, as well as in the case of sites rented from the Council, by the lessor of the said site that is not connected to Council's electricity-, water and/or sewerage supply network, but which in the opinion of the Council can be connected to said network, and by the owner of the property (lessor in the case of Council property) that does not make use of Council's
refuse removal and/or septic tank pumping service.</t>
  </si>
  <si>
    <t>Electricity network availability Fees
All individual vacant plots</t>
  </si>
  <si>
    <t>Vacant</t>
  </si>
  <si>
    <t>Service Type</t>
  </si>
  <si>
    <t>Electricity Basic</t>
  </si>
  <si>
    <t>Energy price (R/kWh consumption)</t>
  </si>
  <si>
    <r>
      <rPr>
        <i/>
        <sz val="11"/>
        <rFont val="Calibri"/>
        <family val="34"/>
      </rPr>
      <t>Network demand charge (per meter connection):
Single phase per Amp</t>
    </r>
  </si>
  <si>
    <r>
      <rPr>
        <i/>
        <sz val="11"/>
        <rFont val="Calibri"/>
        <family val="34"/>
      </rPr>
      <t>Energy price: R/Whr consumption</t>
    </r>
  </si>
  <si>
    <r>
      <rPr>
        <i/>
        <sz val="11"/>
        <rFont val="Calibri"/>
        <family val="34"/>
      </rPr>
      <t>Network demand charge (per meter connection):
Three phase per Amp</t>
    </r>
  </si>
  <si>
    <r>
      <rPr>
        <i/>
        <sz val="11"/>
        <rFont val="Calibri"/>
        <family val="34"/>
      </rPr>
      <t>Energy price R/kWh consumption:</t>
    </r>
  </si>
  <si>
    <r>
      <rPr>
        <i/>
        <sz val="11"/>
        <rFont val="Calibri"/>
        <family val="34"/>
      </rPr>
      <t>Pre-paid-/Conventional meter
Only for maximum supply demand of 20 Amp/ single phase</t>
    </r>
  </si>
  <si>
    <r>
      <rPr>
        <b/>
        <i/>
        <sz val="11"/>
        <rFont val="Calibri"/>
        <family val="34"/>
      </rPr>
      <t>Over 20 Amp Prepaid
Network demand charge above 20 Amp</t>
    </r>
  </si>
  <si>
    <r>
      <rPr>
        <i/>
        <sz val="11"/>
        <rFont val="Calibri"/>
        <family val="34"/>
      </rPr>
      <t>Single Phase per Amp</t>
    </r>
  </si>
  <si>
    <r>
      <rPr>
        <i/>
        <sz val="11"/>
        <rFont val="Calibri"/>
        <family val="34"/>
      </rPr>
      <t>Three Phase per Amp</t>
    </r>
  </si>
  <si>
    <r>
      <rPr>
        <i/>
        <sz val="11"/>
        <rFont val="Calibri"/>
        <family val="34"/>
      </rPr>
      <t>Energy price (R/kWh consumption)
The purchase voucher expires after 3 motnhs without any refund</t>
    </r>
  </si>
  <si>
    <t>Meter</t>
  </si>
  <si>
    <t>Prepaid Meter</t>
  </si>
  <si>
    <t>No</t>
  </si>
  <si>
    <t>Yes</t>
  </si>
  <si>
    <t>Amps</t>
  </si>
  <si>
    <t>Kwh used</t>
  </si>
  <si>
    <t>Kwh feedback</t>
  </si>
  <si>
    <t>Phases</t>
  </si>
  <si>
    <t>Number of Electricity Meters</t>
  </si>
  <si>
    <t>Consumption</t>
  </si>
  <si>
    <t>Water Restriction Level</t>
  </si>
  <si>
    <t xml:space="preserve"> Electricity</t>
  </si>
  <si>
    <t>Water</t>
  </si>
  <si>
    <t>Property Type</t>
  </si>
  <si>
    <t>Business (Small)</t>
  </si>
  <si>
    <t>Business / Residential</t>
  </si>
  <si>
    <t>Vacant Land</t>
  </si>
  <si>
    <t>Credit Meter</t>
  </si>
  <si>
    <t>Feedback Meter</t>
  </si>
  <si>
    <t>Yes/No</t>
  </si>
  <si>
    <t>Meters</t>
  </si>
  <si>
    <t>Phase</t>
  </si>
  <si>
    <t>Single Phase</t>
  </si>
  <si>
    <t>Three Phase</t>
  </si>
  <si>
    <t>Business number of cistern</t>
  </si>
  <si>
    <t>Business number of urinal</t>
  </si>
  <si>
    <t>Toilets</t>
  </si>
  <si>
    <t>Water Usage</t>
  </si>
  <si>
    <t>1 to 3 kl</t>
  </si>
  <si>
    <t>4 to 6 kl</t>
  </si>
  <si>
    <t>7 to 20 kl</t>
  </si>
  <si>
    <t>21 to 30 kl</t>
  </si>
  <si>
    <t>31 to 40 kl</t>
  </si>
  <si>
    <t>41 to 50 kl</t>
  </si>
  <si>
    <t>51 to 60 kl</t>
  </si>
  <si>
    <t>61 to 70 kl</t>
  </si>
  <si>
    <t>71 and more</t>
  </si>
  <si>
    <t>Water Basic</t>
  </si>
  <si>
    <t>Sub</t>
  </si>
  <si>
    <t>Total 2025</t>
  </si>
  <si>
    <t>Number of Water Meters</t>
  </si>
  <si>
    <t>Cannot calculate for more than 1 meter</t>
  </si>
  <si>
    <t>Total Account</t>
  </si>
  <si>
    <t>Feedback Recovery</t>
  </si>
  <si>
    <t>Rates</t>
  </si>
  <si>
    <t>Property Valuation</t>
  </si>
  <si>
    <t>Value</t>
  </si>
  <si>
    <t>Sewerage Charge</t>
  </si>
  <si>
    <t>Sewerage Charge Business</t>
  </si>
  <si>
    <t>Sewerage</t>
  </si>
  <si>
    <t>Type of connection</t>
  </si>
  <si>
    <t>Sewerage Type</t>
  </si>
  <si>
    <t>Pump 5000 litre</t>
  </si>
  <si>
    <t>Pump 8000 litre</t>
  </si>
  <si>
    <t>Number of Pumps</t>
  </si>
  <si>
    <t>Sewerage Pump</t>
  </si>
  <si>
    <t>REFUSE REMOVAL</t>
  </si>
  <si>
    <t>Refuse Removal</t>
  </si>
  <si>
    <t>Refuse Removal Business</t>
  </si>
  <si>
    <t>VALUATION</t>
  </si>
  <si>
    <t>Tariff H: Small Scale Embedded Generation</t>
  </si>
  <si>
    <t>Fixed network charge per month All installations
Bulk customers to remain origional KVA capactiy and demand charges</t>
  </si>
  <si>
    <t>Solar 30 Amp (light)</t>
  </si>
  <si>
    <t>Solar 50 Amp (medium)</t>
  </si>
  <si>
    <t>Solar 80 Amp (high)</t>
  </si>
  <si>
    <t>Infeed tariff per kWh</t>
  </si>
  <si>
    <t>Sewerage availability fees
(Included infrastructure levy in terms of upgrading of
assests)</t>
  </si>
  <si>
    <t>Vacant Plot</t>
  </si>
  <si>
    <t>All individual vacant plots</t>
  </si>
  <si>
    <t>Refuse removal availability fees
(Included infrastructure levy in terms of upgrading of
assests)</t>
  </si>
  <si>
    <t>Septic / conservancy tank availability fees</t>
  </si>
  <si>
    <t>(Only for plots with improvements and vacant plot that
cannot connect to the sewer supply network)</t>
  </si>
  <si>
    <t>All individual plots serviced with a septic/concervancy tank or vacant plots that can reasonably make use of service.</t>
  </si>
  <si>
    <t>Water availability fees
(Included infrastructure levy in terms of upgrading of assests)</t>
  </si>
  <si>
    <t>Prepaid &lt;30</t>
  </si>
  <si>
    <t>Feedback</t>
  </si>
  <si>
    <t>Increase</t>
  </si>
  <si>
    <t>RATES</t>
  </si>
  <si>
    <t>Property Rates</t>
  </si>
  <si>
    <t>Annual</t>
  </si>
  <si>
    <t>Rates Account Compare</t>
  </si>
  <si>
    <t>Water borne</t>
  </si>
  <si>
    <t>Ex VAT 2024</t>
  </si>
  <si>
    <t>Ex VAT 2025</t>
  </si>
  <si>
    <t>Select Feedback Meter for SSEG</t>
  </si>
  <si>
    <t>The selection is only for small business and residential</t>
  </si>
  <si>
    <t>CAM is currently on level 3 water restrictions</t>
  </si>
  <si>
    <t>The values have used the VATed amount on the new schedule this may cause slight discrepancies in the totals as CAM uses ExVAT when calculating values</t>
  </si>
  <si>
    <t>CAM Presented increase</t>
  </si>
  <si>
    <t>Electricity</t>
  </si>
  <si>
    <t>Refuse</t>
  </si>
  <si>
    <t>XXX</t>
  </si>
  <si>
    <t>Total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</si>
</sst>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R&quot;* #,##0.00_-;\-&quot;R&quot;* #,##0.00_-;_-&quot;R&quot;* &quot;-&quot;??_-;_-@_-"/>
    <numFmt numFmtId="164" formatCode="0.0000%"/>
    <numFmt numFmtId="165" formatCode="###0.00;###0.00"/>
    <numFmt numFmtId="166" formatCode="0.000000"/>
  </numFmts>
  <fonts count="21" x14ac:knownFonts="1">
    <font>
      <sz val="11"/>
      <color theme="1"/>
      <name val="Aptos Narrow"/>
      <family val="2"/>
      <scheme val="minor"/>
    </font>
    <font>
      <sz val="11"/>
      <color theme="1"/>
      <name val="Aptos Narrow"/>
      <family val="2"/>
      <scheme val="minor"/>
    </font>
    <font>
      <b/>
      <sz val="11"/>
      <color theme="1"/>
      <name val="Aptos Narrow"/>
      <family val="2"/>
      <scheme val="minor"/>
    </font>
    <font>
      <sz val="11"/>
      <color theme="0"/>
      <name val="Aptos Narrow"/>
      <family val="2"/>
      <scheme val="minor"/>
    </font>
    <font>
      <sz val="10"/>
      <color theme="1"/>
      <name val="Calibri"/>
      <family val="2"/>
    </font>
    <font>
      <sz val="9"/>
      <color theme="1"/>
      <name val="Times New Roman"/>
      <family val="1"/>
    </font>
    <font>
      <sz val="11"/>
      <color theme="1"/>
      <name val="Calibri"/>
      <family val="2"/>
    </font>
    <font>
      <u/>
      <sz val="10"/>
      <color theme="1"/>
      <name val="Calibri"/>
      <family val="2"/>
    </font>
    <font>
      <u/>
      <sz val="9"/>
      <color theme="1"/>
      <name val="Times New Roman"/>
      <family val="1"/>
    </font>
    <font>
      <i/>
      <sz val="11"/>
      <name val="Calibri"/>
      <family val="34"/>
    </font>
    <font>
      <b/>
      <i/>
      <sz val="11"/>
      <name val="Calibri"/>
      <family val="34"/>
    </font>
    <font>
      <sz val="11"/>
      <color theme="5" tint="-0.249977111117893"/>
      <name val="Aptos Narrow"/>
      <family val="2"/>
      <scheme val="minor"/>
    </font>
    <font>
      <b/>
      <sz val="11"/>
      <name val="Aptos Narrow"/>
      <family val="2"/>
      <scheme val="minor"/>
    </font>
    <font>
      <sz val="11"/>
      <name val="Aptos Narrow"/>
      <family val="2"/>
      <scheme val="minor"/>
    </font>
    <font>
      <b/>
      <sz val="11"/>
      <color theme="0" tint="-0.249977111117893"/>
      <name val="Aptos Narrow"/>
      <family val="2"/>
      <scheme val="minor"/>
    </font>
    <font>
      <b/>
      <sz val="16"/>
      <name val="Aptos Narrow"/>
      <family val="2"/>
      <scheme val="minor"/>
    </font>
    <font>
      <b/>
      <sz val="9"/>
      <name val="Aptos Narrow"/>
      <family val="2"/>
      <scheme val="minor"/>
    </font>
    <font>
      <i/>
      <sz val="11"/>
      <color theme="1"/>
      <name val="Aptos Narrow"/>
      <family val="2"/>
      <scheme val="minor"/>
    </font>
    <font>
      <i/>
      <sz val="11"/>
      <color rgb="FFFF0000"/>
      <name val="Aptos Narrow"/>
      <family val="2"/>
      <scheme val="minor"/>
    </font>
    <font>
      <sz val="9"/>
      <color indexed="8"/>
      <name val="Arial"/>
      <family val="2"/>
    </font>
    <font>
      <sz val="10"/>
      <color indexed="8"/>
      <name val="Arial"/>
      <family val="2"/>
    </font>
  </fonts>
  <fills count="10">
    <fill>
      <patternFill patternType="none"/>
    </fill>
    <fill>
      <patternFill patternType="gray125"/>
    </fill>
    <fill>
      <patternFill patternType="solid">
        <fgColor theme="0" tint="-0.249977111117893"/>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3" tint="0.749992370372631"/>
        <bgColor indexed="64"/>
      </patternFill>
    </fill>
    <fill>
      <patternFill patternType="solid">
        <fgColor rgb="FFFFFFFF"/>
        <bgColor indexed="64"/>
      </patternFill>
    </fill>
  </fills>
  <borders count="28">
    <border>
      <left/>
      <right/>
      <top/>
      <bottom/>
      <diagonal/>
    </border>
    <border>
      <left/>
      <right style="medium">
        <color rgb="FF000000"/>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style="medium">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77">
    <xf numFmtId="0" fontId="0" fillId="0" borderId="0" xfId="0"/>
    <xf numFmtId="0" fontId="4" fillId="0" borderId="0" xfId="0" applyFont="1" applyAlignment="1">
      <alignment horizontal="left" vertical="center" wrapText="1" indent="1"/>
    </xf>
    <xf numFmtId="0" fontId="5" fillId="0" borderId="0" xfId="0" applyFont="1"/>
    <xf numFmtId="0" fontId="4" fillId="0" borderId="0" xfId="0" applyFont="1"/>
    <xf numFmtId="0" fontId="5" fillId="0" borderId="0" xfId="0" applyFont="1" applyAlignment="1">
      <alignment horizontal="left" vertical="center" indent="1"/>
    </xf>
    <xf numFmtId="44" fontId="0" fillId="0" borderId="0" xfId="1" applyFont="1"/>
    <xf numFmtId="0" fontId="0" fillId="0" borderId="0" xfId="0" quotePrefix="1"/>
    <xf numFmtId="0" fontId="6" fillId="0" borderId="0" xfId="0" applyFont="1" applyAlignment="1">
      <alignment vertical="center" wrapText="1"/>
    </xf>
    <xf numFmtId="0" fontId="5" fillId="0" borderId="0" xfId="0" applyFont="1" applyAlignment="1">
      <alignment vertical="center"/>
    </xf>
    <xf numFmtId="0" fontId="4" fillId="0" borderId="0" xfId="0" applyFont="1" applyAlignment="1">
      <alignment horizontal="left" vertical="center" wrapText="1" indent="2"/>
    </xf>
    <xf numFmtId="0" fontId="4" fillId="0" borderId="1" xfId="0" applyFont="1" applyBorder="1" applyAlignment="1">
      <alignment horizontal="left" vertical="center" wrapText="1" indent="2"/>
    </xf>
    <xf numFmtId="0" fontId="5" fillId="0" borderId="1" xfId="0" applyFont="1" applyBorder="1" applyAlignment="1">
      <alignment horizontal="left" vertical="center" wrapText="1" indent="2"/>
    </xf>
    <xf numFmtId="0" fontId="6" fillId="0" borderId="1" xfId="0" applyFont="1" applyBorder="1" applyAlignment="1">
      <alignment vertical="center" wrapText="1"/>
    </xf>
    <xf numFmtId="0" fontId="4" fillId="0" borderId="0" xfId="0" applyFont="1" applyAlignment="1">
      <alignment horizontal="left" vertical="center" wrapText="1" indent="3"/>
    </xf>
    <xf numFmtId="44" fontId="5" fillId="0" borderId="0" xfId="1" applyFont="1"/>
    <xf numFmtId="44" fontId="4" fillId="0" borderId="0" xfId="1" applyFont="1"/>
    <xf numFmtId="0" fontId="5" fillId="0" borderId="0" xfId="0" applyFont="1" applyAlignment="1">
      <alignment horizontal="left" vertical="center" wrapText="1" indent="2"/>
    </xf>
    <xf numFmtId="0" fontId="5" fillId="0" borderId="0" xfId="0" applyFont="1" applyAlignment="1">
      <alignment horizontal="left" vertical="center" wrapText="1" indent="1"/>
    </xf>
    <xf numFmtId="0" fontId="7" fillId="0" borderId="0" xfId="0" applyFont="1" applyAlignment="1">
      <alignment horizontal="left" vertical="center" wrapText="1" indent="1"/>
    </xf>
    <xf numFmtId="44" fontId="4" fillId="0" borderId="1" xfId="1" applyFont="1" applyBorder="1" applyAlignment="1">
      <alignment vertical="center" wrapText="1"/>
    </xf>
    <xf numFmtId="44" fontId="5" fillId="0" borderId="1" xfId="1" applyFont="1" applyBorder="1" applyAlignment="1">
      <alignment horizontal="left" vertical="center" wrapText="1" indent="1"/>
    </xf>
    <xf numFmtId="44" fontId="4" fillId="0" borderId="1" xfId="1" applyFont="1" applyBorder="1" applyAlignment="1">
      <alignment horizontal="left" vertical="center" wrapText="1" indent="1"/>
    </xf>
    <xf numFmtId="44" fontId="5" fillId="0" borderId="1" xfId="1" applyFont="1" applyBorder="1" applyAlignment="1">
      <alignment vertical="center" wrapText="1"/>
    </xf>
    <xf numFmtId="0" fontId="8" fillId="0" borderId="0" xfId="0" applyFont="1"/>
    <xf numFmtId="0" fontId="0" fillId="0" borderId="0" xfId="0" applyAlignment="1">
      <alignment wrapText="1"/>
    </xf>
    <xf numFmtId="44" fontId="5" fillId="0" borderId="0" xfId="1" applyFont="1" applyAlignment="1">
      <alignment horizontal="left" vertical="center" wrapText="1" indent="1"/>
    </xf>
    <xf numFmtId="44" fontId="4" fillId="0" borderId="0" xfId="1" applyFont="1" applyAlignment="1">
      <alignment horizontal="left" vertical="center" wrapText="1" indent="1"/>
    </xf>
    <xf numFmtId="0" fontId="8" fillId="0" borderId="0" xfId="0" applyFont="1" applyAlignment="1">
      <alignment horizontal="left" vertical="center" wrapText="1" indent="1"/>
    </xf>
    <xf numFmtId="44" fontId="6" fillId="0" borderId="1" xfId="1" applyFont="1" applyBorder="1" applyAlignment="1">
      <alignment vertical="center" wrapText="1"/>
    </xf>
    <xf numFmtId="44" fontId="5" fillId="0" borderId="1" xfId="1" applyFont="1" applyBorder="1" applyAlignment="1">
      <alignment horizontal="left" vertical="center" wrapText="1" indent="2"/>
    </xf>
    <xf numFmtId="44" fontId="4" fillId="0" borderId="1" xfId="1" applyFont="1" applyBorder="1" applyAlignment="1">
      <alignment horizontal="left" vertical="center" wrapText="1" indent="2"/>
    </xf>
    <xf numFmtId="0" fontId="0" fillId="0" borderId="0" xfId="0" applyAlignment="1">
      <alignment horizontal="left" vertical="top" wrapText="1"/>
    </xf>
    <xf numFmtId="0" fontId="0" fillId="0" borderId="2" xfId="0" applyBorder="1" applyAlignment="1" applyProtection="1">
      <alignment horizontal="left"/>
      <protection locked="0"/>
    </xf>
    <xf numFmtId="0" fontId="2" fillId="0" borderId="0" xfId="0" applyFont="1"/>
    <xf numFmtId="0" fontId="2" fillId="2" borderId="0" xfId="0" applyFont="1" applyFill="1"/>
    <xf numFmtId="0" fontId="2" fillId="2" borderId="2" xfId="0" applyFont="1" applyFill="1" applyBorder="1"/>
    <xf numFmtId="0" fontId="0" fillId="0" borderId="2" xfId="0" applyBorder="1"/>
    <xf numFmtId="0" fontId="2" fillId="0" borderId="2" xfId="0" applyFont="1" applyBorder="1"/>
    <xf numFmtId="44" fontId="2" fillId="0" borderId="2" xfId="1" applyFont="1" applyFill="1" applyBorder="1"/>
    <xf numFmtId="0" fontId="0" fillId="0" borderId="2" xfId="0" applyBorder="1" applyProtection="1">
      <protection locked="0"/>
    </xf>
    <xf numFmtId="0" fontId="3" fillId="0" borderId="2" xfId="0" applyFont="1" applyBorder="1" applyProtection="1">
      <protection locked="0"/>
    </xf>
    <xf numFmtId="44" fontId="13" fillId="0" borderId="2" xfId="1" applyFont="1" applyBorder="1" applyProtection="1">
      <protection locked="0"/>
    </xf>
    <xf numFmtId="0" fontId="13" fillId="0" borderId="2" xfId="0" applyFont="1" applyBorder="1" applyProtection="1">
      <protection locked="0"/>
    </xf>
    <xf numFmtId="0" fontId="3" fillId="0" borderId="0" xfId="0" applyFont="1" applyProtection="1">
      <protection locked="0"/>
    </xf>
    <xf numFmtId="0" fontId="14" fillId="0" borderId="0" xfId="0" applyFont="1" applyAlignment="1">
      <alignment horizontal="left"/>
    </xf>
    <xf numFmtId="0" fontId="2" fillId="2" borderId="2" xfId="0" applyFont="1" applyFill="1" applyBorder="1" applyAlignment="1">
      <alignment horizontal="center" wrapText="1"/>
    </xf>
    <xf numFmtId="0" fontId="2" fillId="2" borderId="0" xfId="0" applyFont="1" applyFill="1" applyAlignment="1">
      <alignment horizontal="center" wrapText="1"/>
    </xf>
    <xf numFmtId="164" fontId="2" fillId="0" borderId="3" xfId="2" applyNumberFormat="1" applyFont="1" applyBorder="1"/>
    <xf numFmtId="0" fontId="0" fillId="0" borderId="5" xfId="0" applyBorder="1"/>
    <xf numFmtId="0" fontId="0" fillId="0" borderId="6" xfId="0" applyBorder="1"/>
    <xf numFmtId="0" fontId="0" fillId="0" borderId="0" xfId="0" applyAlignment="1">
      <alignment horizontal="center"/>
    </xf>
    <xf numFmtId="0" fontId="0" fillId="4" borderId="2" xfId="0" applyFill="1" applyBorder="1"/>
    <xf numFmtId="0" fontId="0" fillId="4" borderId="7" xfId="0" applyFill="1" applyBorder="1"/>
    <xf numFmtId="0" fontId="0" fillId="4" borderId="8" xfId="0" applyFill="1" applyBorder="1"/>
    <xf numFmtId="164" fontId="0" fillId="4" borderId="3" xfId="2" applyNumberFormat="1" applyFont="1" applyFill="1" applyBorder="1"/>
    <xf numFmtId="0" fontId="0" fillId="4" borderId="2" xfId="0" applyFill="1" applyBorder="1" applyAlignment="1">
      <alignment horizontal="left"/>
    </xf>
    <xf numFmtId="0" fontId="0" fillId="5" borderId="2" xfId="0" applyFill="1" applyBorder="1" applyAlignment="1">
      <alignment horizontal="left"/>
    </xf>
    <xf numFmtId="0" fontId="0" fillId="5" borderId="2" xfId="0" applyFill="1" applyBorder="1"/>
    <xf numFmtId="0" fontId="0" fillId="5" borderId="7" xfId="0" applyFill="1" applyBorder="1"/>
    <xf numFmtId="0" fontId="0" fillId="5" borderId="8" xfId="0" applyFill="1" applyBorder="1"/>
    <xf numFmtId="164" fontId="0" fillId="5" borderId="3" xfId="2" applyNumberFormat="1" applyFont="1" applyFill="1" applyBorder="1"/>
    <xf numFmtId="0" fontId="2" fillId="6" borderId="2" xfId="0" applyFont="1" applyFill="1" applyBorder="1"/>
    <xf numFmtId="0" fontId="0" fillId="6" borderId="2" xfId="0" applyFill="1" applyBorder="1" applyAlignment="1">
      <alignment horizontal="left"/>
    </xf>
    <xf numFmtId="0" fontId="0" fillId="6" borderId="2" xfId="0" applyFill="1" applyBorder="1"/>
    <xf numFmtId="0" fontId="0" fillId="6" borderId="7" xfId="0" applyFill="1" applyBorder="1"/>
    <xf numFmtId="0" fontId="0" fillId="6" borderId="8" xfId="0" applyFill="1" applyBorder="1"/>
    <xf numFmtId="44" fontId="0" fillId="6" borderId="2" xfId="1" applyFont="1" applyFill="1" applyBorder="1"/>
    <xf numFmtId="164" fontId="0" fillId="6" borderId="3" xfId="2" applyNumberFormat="1" applyFont="1" applyFill="1" applyBorder="1"/>
    <xf numFmtId="44" fontId="0" fillId="6" borderId="7" xfId="0" applyNumberFormat="1" applyFill="1" applyBorder="1"/>
    <xf numFmtId="44" fontId="0" fillId="6" borderId="8" xfId="0" applyNumberFormat="1" applyFill="1" applyBorder="1"/>
    <xf numFmtId="0" fontId="2" fillId="7" borderId="2" xfId="0" applyFont="1" applyFill="1" applyBorder="1"/>
    <xf numFmtId="0" fontId="0" fillId="7" borderId="2" xfId="0" applyFill="1" applyBorder="1"/>
    <xf numFmtId="44" fontId="0" fillId="7" borderId="2" xfId="1" applyFont="1" applyFill="1" applyBorder="1"/>
    <xf numFmtId="0" fontId="0" fillId="7" borderId="7" xfId="0" applyFill="1" applyBorder="1"/>
    <xf numFmtId="0" fontId="0" fillId="7" borderId="8" xfId="0" applyFill="1" applyBorder="1"/>
    <xf numFmtId="164" fontId="0" fillId="7" borderId="3" xfId="2" applyNumberFormat="1" applyFont="1" applyFill="1" applyBorder="1"/>
    <xf numFmtId="44" fontId="0" fillId="7" borderId="7" xfId="0" applyNumberFormat="1" applyFill="1" applyBorder="1"/>
    <xf numFmtId="44" fontId="0" fillId="7" borderId="8" xfId="0" applyNumberFormat="1" applyFill="1" applyBorder="1"/>
    <xf numFmtId="0" fontId="2" fillId="8" borderId="2" xfId="0" applyFont="1" applyFill="1" applyBorder="1"/>
    <xf numFmtId="0" fontId="17" fillId="8" borderId="2" xfId="0" applyFont="1" applyFill="1" applyBorder="1" applyAlignment="1">
      <alignment horizontal="center"/>
    </xf>
    <xf numFmtId="0" fontId="0" fillId="8" borderId="2" xfId="0" applyFill="1" applyBorder="1"/>
    <xf numFmtId="0" fontId="0" fillId="8" borderId="7" xfId="0" applyFill="1" applyBorder="1"/>
    <xf numFmtId="0" fontId="0" fillId="8" borderId="8" xfId="0" applyFill="1" applyBorder="1"/>
    <xf numFmtId="44" fontId="0" fillId="8" borderId="2" xfId="0" applyNumberFormat="1" applyFill="1" applyBorder="1"/>
    <xf numFmtId="164" fontId="0" fillId="8" borderId="3" xfId="2" applyNumberFormat="1" applyFont="1" applyFill="1" applyBorder="1"/>
    <xf numFmtId="0" fontId="0" fillId="8" borderId="9" xfId="0" applyFill="1" applyBorder="1"/>
    <xf numFmtId="0" fontId="0" fillId="8" borderId="10" xfId="0" applyFill="1" applyBorder="1"/>
    <xf numFmtId="0" fontId="0" fillId="2" borderId="2" xfId="0" applyFill="1" applyBorder="1"/>
    <xf numFmtId="0" fontId="0" fillId="2" borderId="2" xfId="0" applyFill="1" applyBorder="1" applyAlignment="1">
      <alignment horizontal="left"/>
    </xf>
    <xf numFmtId="164" fontId="0" fillId="2" borderId="3" xfId="2" applyNumberFormat="1" applyFont="1" applyFill="1" applyBorder="1"/>
    <xf numFmtId="0" fontId="0" fillId="2" borderId="7" xfId="0" applyFill="1" applyBorder="1"/>
    <xf numFmtId="0" fontId="0" fillId="2" borderId="8" xfId="0" applyFill="1" applyBorder="1"/>
    <xf numFmtId="44" fontId="0" fillId="2" borderId="2" xfId="1" applyFont="1" applyFill="1" applyBorder="1"/>
    <xf numFmtId="164" fontId="2" fillId="0" borderId="12" xfId="2" applyNumberFormat="1" applyFont="1" applyBorder="1"/>
    <xf numFmtId="164" fontId="0" fillId="4" borderId="12" xfId="2" applyNumberFormat="1" applyFont="1" applyFill="1" applyBorder="1"/>
    <xf numFmtId="164" fontId="0" fillId="2" borderId="12" xfId="2" applyNumberFormat="1" applyFont="1" applyFill="1" applyBorder="1"/>
    <xf numFmtId="164" fontId="0" fillId="5" borderId="12" xfId="2" applyNumberFormat="1" applyFont="1" applyFill="1" applyBorder="1"/>
    <xf numFmtId="164" fontId="0" fillId="6" borderId="12" xfId="2" applyNumberFormat="1" applyFont="1" applyFill="1" applyBorder="1"/>
    <xf numFmtId="164" fontId="0" fillId="7" borderId="12" xfId="2" applyNumberFormat="1" applyFont="1" applyFill="1" applyBorder="1"/>
    <xf numFmtId="164" fontId="0" fillId="8" borderId="12" xfId="2" applyNumberFormat="1" applyFont="1" applyFill="1" applyBorder="1"/>
    <xf numFmtId="0" fontId="2" fillId="2" borderId="13" xfId="0" applyFont="1" applyFill="1" applyBorder="1" applyAlignment="1">
      <alignment horizontal="center" wrapText="1"/>
    </xf>
    <xf numFmtId="44" fontId="2" fillId="2" borderId="2" xfId="1" applyFont="1" applyFill="1" applyBorder="1"/>
    <xf numFmtId="164" fontId="2" fillId="2" borderId="3" xfId="2" applyNumberFormat="1" applyFont="1" applyFill="1" applyBorder="1"/>
    <xf numFmtId="164" fontId="2" fillId="2" borderId="12" xfId="2" applyNumberFormat="1" applyFont="1" applyFill="1" applyBorder="1"/>
    <xf numFmtId="164" fontId="18" fillId="6" borderId="3" xfId="0" applyNumberFormat="1" applyFont="1" applyFill="1" applyBorder="1"/>
    <xf numFmtId="164" fontId="18" fillId="7" borderId="3" xfId="0" applyNumberFormat="1" applyFont="1" applyFill="1" applyBorder="1"/>
    <xf numFmtId="164" fontId="18" fillId="8" borderId="3" xfId="0" applyNumberFormat="1" applyFont="1" applyFill="1" applyBorder="1"/>
    <xf numFmtId="10" fontId="0" fillId="6" borderId="12" xfId="2" applyNumberFormat="1" applyFont="1" applyFill="1" applyBorder="1"/>
    <xf numFmtId="10" fontId="0" fillId="7" borderId="12" xfId="2" applyNumberFormat="1" applyFont="1" applyFill="1" applyBorder="1"/>
    <xf numFmtId="10" fontId="0" fillId="8" borderId="12" xfId="2" applyNumberFormat="1" applyFont="1" applyFill="1" applyBorder="1"/>
    <xf numFmtId="10" fontId="0" fillId="0" borderId="2" xfId="2" applyNumberFormat="1" applyFont="1" applyBorder="1"/>
    <xf numFmtId="0" fontId="2" fillId="5" borderId="14" xfId="0" applyFont="1" applyFill="1" applyBorder="1"/>
    <xf numFmtId="0" fontId="0" fillId="5" borderId="14" xfId="0" applyFill="1" applyBorder="1" applyAlignment="1">
      <alignment horizontal="left"/>
    </xf>
    <xf numFmtId="0" fontId="0" fillId="5" borderId="14" xfId="0" applyFill="1" applyBorder="1"/>
    <xf numFmtId="164" fontId="18" fillId="5" borderId="15" xfId="0" applyNumberFormat="1" applyFont="1" applyFill="1" applyBorder="1"/>
    <xf numFmtId="164" fontId="0" fillId="5" borderId="16" xfId="2" applyNumberFormat="1" applyFont="1" applyFill="1" applyBorder="1"/>
    <xf numFmtId="0" fontId="0" fillId="5" borderId="17" xfId="0" applyFill="1" applyBorder="1"/>
    <xf numFmtId="0" fontId="0" fillId="5" borderId="17" xfId="0" applyFill="1" applyBorder="1" applyAlignment="1">
      <alignment horizontal="left"/>
    </xf>
    <xf numFmtId="164" fontId="0" fillId="5" borderId="18" xfId="2" applyNumberFormat="1" applyFont="1" applyFill="1" applyBorder="1"/>
    <xf numFmtId="164" fontId="0" fillId="5" borderId="19" xfId="2" applyNumberFormat="1" applyFont="1" applyFill="1" applyBorder="1"/>
    <xf numFmtId="0" fontId="0" fillId="5" borderId="20" xfId="0" applyFill="1" applyBorder="1"/>
    <xf numFmtId="0" fontId="0" fillId="5" borderId="21" xfId="0" applyFill="1" applyBorder="1" applyAlignment="1">
      <alignment horizontal="left"/>
    </xf>
    <xf numFmtId="44" fontId="0" fillId="5" borderId="21" xfId="1" applyFont="1" applyFill="1" applyBorder="1"/>
    <xf numFmtId="164" fontId="0" fillId="5" borderId="22" xfId="2" applyNumberFormat="1" applyFont="1" applyFill="1" applyBorder="1"/>
    <xf numFmtId="164" fontId="0" fillId="5" borderId="23" xfId="2" applyNumberFormat="1" applyFont="1" applyFill="1" applyBorder="1"/>
    <xf numFmtId="44" fontId="0" fillId="5" borderId="5" xfId="0" applyNumberFormat="1" applyFill="1" applyBorder="1"/>
    <xf numFmtId="44" fontId="0" fillId="5" borderId="6" xfId="0" applyNumberFormat="1" applyFill="1" applyBorder="1"/>
    <xf numFmtId="0" fontId="0" fillId="5" borderId="24" xfId="0" applyFill="1" applyBorder="1"/>
    <xf numFmtId="0" fontId="0" fillId="5" borderId="25" xfId="0" applyFill="1" applyBorder="1" applyAlignment="1">
      <alignment horizontal="left"/>
    </xf>
    <xf numFmtId="44" fontId="0" fillId="5" borderId="25" xfId="1" applyFont="1" applyFill="1" applyBorder="1"/>
    <xf numFmtId="164" fontId="0" fillId="5" borderId="26" xfId="2" applyNumberFormat="1" applyFont="1" applyFill="1" applyBorder="1"/>
    <xf numFmtId="164" fontId="0" fillId="5" borderId="27" xfId="2" applyNumberFormat="1" applyFont="1" applyFill="1" applyBorder="1"/>
    <xf numFmtId="44" fontId="0" fillId="5" borderId="9" xfId="0" applyNumberFormat="1" applyFill="1" applyBorder="1"/>
    <xf numFmtId="44" fontId="0" fillId="5" borderId="10" xfId="0" applyNumberFormat="1" applyFill="1" applyBorder="1"/>
    <xf numFmtId="0" fontId="2" fillId="4" borderId="14" xfId="0" applyFont="1" applyFill="1" applyBorder="1"/>
    <xf numFmtId="0" fontId="0" fillId="4" borderId="14" xfId="0" applyFill="1" applyBorder="1"/>
    <xf numFmtId="164" fontId="18" fillId="4" borderId="15" xfId="0" applyNumberFormat="1" applyFont="1" applyFill="1" applyBorder="1"/>
    <xf numFmtId="10" fontId="0" fillId="4" borderId="16" xfId="2" applyNumberFormat="1" applyFont="1" applyFill="1" applyBorder="1"/>
    <xf numFmtId="0" fontId="0" fillId="4" borderId="17" xfId="0" applyFill="1" applyBorder="1"/>
    <xf numFmtId="0" fontId="0" fillId="4" borderId="17" xfId="0" applyFill="1" applyBorder="1" applyAlignment="1">
      <alignment horizontal="left"/>
    </xf>
    <xf numFmtId="164" fontId="0" fillId="4" borderId="18" xfId="2" applyNumberFormat="1" applyFont="1" applyFill="1" applyBorder="1"/>
    <xf numFmtId="164" fontId="0" fillId="4" borderId="19" xfId="2" applyNumberFormat="1" applyFont="1" applyFill="1" applyBorder="1"/>
    <xf numFmtId="0" fontId="0" fillId="4" borderId="20" xfId="0" applyFill="1" applyBorder="1"/>
    <xf numFmtId="0" fontId="0" fillId="4" borderId="21" xfId="0" applyFill="1" applyBorder="1"/>
    <xf numFmtId="44" fontId="0" fillId="4" borderId="21" xfId="1" applyFont="1" applyFill="1" applyBorder="1"/>
    <xf numFmtId="164" fontId="0" fillId="4" borderId="22" xfId="2" applyNumberFormat="1" applyFont="1" applyFill="1" applyBorder="1"/>
    <xf numFmtId="164" fontId="0" fillId="4" borderId="23" xfId="2" applyNumberFormat="1" applyFont="1" applyFill="1" applyBorder="1"/>
    <xf numFmtId="44" fontId="0" fillId="4" borderId="5" xfId="0" applyNumberFormat="1" applyFill="1" applyBorder="1"/>
    <xf numFmtId="44" fontId="0" fillId="4" borderId="6" xfId="0" applyNumberFormat="1" applyFill="1" applyBorder="1"/>
    <xf numFmtId="0" fontId="0" fillId="4" borderId="24" xfId="0" applyFill="1" applyBorder="1" applyAlignment="1">
      <alignment horizontal="left" wrapText="1"/>
    </xf>
    <xf numFmtId="0" fontId="0" fillId="4" borderId="25" xfId="0" applyFill="1" applyBorder="1" applyAlignment="1">
      <alignment horizontal="left"/>
    </xf>
    <xf numFmtId="44" fontId="0" fillId="4" borderId="25" xfId="1" applyFont="1" applyFill="1" applyBorder="1"/>
    <xf numFmtId="164" fontId="0" fillId="4" borderId="26" xfId="2" applyNumberFormat="1" applyFont="1" applyFill="1" applyBorder="1"/>
    <xf numFmtId="164" fontId="0" fillId="4" borderId="27" xfId="2" applyNumberFormat="1" applyFont="1" applyFill="1" applyBorder="1"/>
    <xf numFmtId="44" fontId="0" fillId="4" borderId="9" xfId="0" applyNumberFormat="1" applyFill="1" applyBorder="1"/>
    <xf numFmtId="44" fontId="0" fillId="4" borderId="10" xfId="0" applyNumberFormat="1" applyFill="1" applyBorder="1"/>
    <xf numFmtId="165" fontId="19" fillId="9" borderId="0" xfId="0" applyNumberFormat="1" applyFont="1" applyFill="1" applyAlignment="1">
      <alignment horizontal="left" vertical="top"/>
    </xf>
    <xf numFmtId="165" fontId="20" fillId="9" borderId="0" xfId="0" applyNumberFormat="1" applyFont="1" applyFill="1" applyAlignment="1">
      <alignment horizontal="left" vertical="top"/>
    </xf>
    <xf numFmtId="10" fontId="0" fillId="0" borderId="0" xfId="2" applyNumberFormat="1" applyFont="1"/>
    <xf numFmtId="166" fontId="0" fillId="0" borderId="0" xfId="0" applyNumberFormat="1"/>
    <xf numFmtId="44" fontId="0" fillId="0" borderId="0" xfId="0" applyNumberFormat="1"/>
    <xf numFmtId="4" fontId="0" fillId="0" borderId="0" xfId="0" applyNumberFormat="1"/>
    <xf numFmtId="0" fontId="0" fillId="0" borderId="11" xfId="0" applyBorder="1" applyAlignment="1">
      <alignment horizontal="center"/>
    </xf>
    <xf numFmtId="0" fontId="0" fillId="0" borderId="0" xfId="0" applyAlignment="1">
      <alignment horizontal="center"/>
    </xf>
    <xf numFmtId="0" fontId="16" fillId="0" borderId="0" xfId="0" applyFont="1" applyAlignment="1">
      <alignment horizontal="center" vertical="top"/>
    </xf>
    <xf numFmtId="0" fontId="16" fillId="0" borderId="0" xfId="0" applyFont="1" applyAlignment="1">
      <alignment horizontal="left" vertical="top" wrapText="1"/>
    </xf>
    <xf numFmtId="0" fontId="15" fillId="0" borderId="0" xfId="0" applyFont="1" applyAlignment="1">
      <alignment horizontal="center"/>
    </xf>
    <xf numFmtId="0" fontId="2" fillId="2" borderId="2" xfId="0" applyFont="1" applyFill="1" applyBorder="1" applyAlignment="1">
      <alignment horizontal="left"/>
    </xf>
    <xf numFmtId="0" fontId="14" fillId="2" borderId="2" xfId="0" applyFont="1" applyFill="1" applyBorder="1"/>
    <xf numFmtId="0" fontId="2" fillId="3" borderId="2" xfId="0" applyFont="1" applyFill="1" applyBorder="1" applyAlignment="1">
      <alignment horizontal="center"/>
    </xf>
    <xf numFmtId="0" fontId="2" fillId="2" borderId="2" xfId="0" applyFont="1" applyFill="1" applyBorder="1"/>
    <xf numFmtId="0" fontId="14" fillId="2" borderId="3" xfId="0" applyFont="1" applyFill="1" applyBorder="1" applyAlignment="1">
      <alignment horizontal="left" vertical="top"/>
    </xf>
    <xf numFmtId="0" fontId="14" fillId="2" borderId="4" xfId="0" applyFont="1" applyFill="1" applyBorder="1" applyAlignment="1">
      <alignment horizontal="left" vertical="top"/>
    </xf>
    <xf numFmtId="0" fontId="12" fillId="3" borderId="2" xfId="0" applyFont="1" applyFill="1" applyBorder="1" applyAlignment="1">
      <alignment horizontal="center"/>
    </xf>
    <xf numFmtId="0" fontId="12" fillId="2" borderId="2" xfId="0" applyFont="1" applyFill="1" applyBorder="1" applyAlignment="1">
      <alignment horizontal="left"/>
    </xf>
    <xf numFmtId="0" fontId="14" fillId="2" borderId="2" xfId="0" applyFont="1" applyFill="1" applyBorder="1" applyAlignment="1">
      <alignment horizontal="left"/>
    </xf>
    <xf numFmtId="0" fontId="11" fillId="0" borderId="0" xfId="0" applyFont="1" applyAlignment="1">
      <alignment horizontal="center"/>
    </xf>
  </cellXfs>
  <cellStyles count="3">
    <cellStyle name="Currency" xfId="1" builtinId="4"/>
    <cellStyle name="Normal" xfId="0" builtinId="0"/>
    <cellStyle name="Percent" xfId="2" builtinId="5"/>
  </cellStyles>
  <dxfs count="5">
    <dxf>
      <font>
        <color theme="0"/>
      </font>
    </dxf>
    <dxf>
      <font>
        <color theme="0"/>
      </font>
    </dxf>
    <dxf>
      <font>
        <strike val="0"/>
        <color theme="1"/>
      </font>
    </dxf>
    <dxf>
      <font>
        <strike val="0"/>
        <color auto="1"/>
      </font>
    </dxf>
    <dxf>
      <font>
        <strike val="0"/>
        <color auto="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8BAB1-522C-4484-87A4-DE2B12550A24}">
  <dimension ref="A1:AI63"/>
  <sheetViews>
    <sheetView topLeftCell="A2" workbookViewId="0">
      <selection activeCell="G2" sqref="G1:AA1048576"/>
    </sheetView>
  </sheetViews>
  <sheetFormatPr defaultRowHeight="15" x14ac:dyDescent="0.25"/>
  <cols>
    <col min="1" max="1" width="45.42578125" customWidth="1"/>
    <col min="2" max="2" width="11.5703125" bestFit="1" customWidth="1"/>
    <col min="3" max="3" width="14.5703125" bestFit="1" customWidth="1"/>
    <col min="4" max="4" width="11.5703125" bestFit="1" customWidth="1"/>
    <col min="5" max="5" width="11.7109375" bestFit="1" customWidth="1"/>
    <col min="6" max="6" width="12.85546875" customWidth="1"/>
    <col min="7" max="7" width="10.28515625" bestFit="1" customWidth="1"/>
    <col min="8" max="9" width="11.28515625" hidden="1" customWidth="1"/>
    <col min="10" max="10" width="9.140625" hidden="1" customWidth="1"/>
    <col min="11" max="13" width="7" hidden="1" customWidth="1"/>
    <col min="14" max="15" width="11.28515625" hidden="1" customWidth="1"/>
    <col min="16" max="16" width="3" hidden="1" customWidth="1"/>
    <col min="17" max="18" width="9.5703125" hidden="1" customWidth="1"/>
    <col min="19" max="19" width="2" hidden="1" customWidth="1"/>
    <col min="20" max="21" width="9.140625" hidden="1" customWidth="1"/>
    <col min="22" max="24" width="2" hidden="1" customWidth="1"/>
    <col min="25" max="26" width="0" hidden="1" customWidth="1"/>
    <col min="34" max="34" width="14.140625" bestFit="1" customWidth="1"/>
    <col min="35" max="35" width="12.5703125" bestFit="1" customWidth="1"/>
  </cols>
  <sheetData>
    <row r="1" spans="1:35" x14ac:dyDescent="0.25">
      <c r="A1" s="167" t="s">
        <v>103</v>
      </c>
      <c r="B1" s="167"/>
      <c r="C1" s="32" t="s">
        <v>16</v>
      </c>
      <c r="D1" s="162" t="s">
        <v>175</v>
      </c>
      <c r="E1" s="163"/>
      <c r="F1" s="163"/>
      <c r="G1" s="163"/>
      <c r="H1" s="163"/>
      <c r="I1" s="163"/>
      <c r="J1" s="163"/>
      <c r="K1" s="163"/>
      <c r="L1" s="163"/>
      <c r="M1" s="163"/>
      <c r="N1" s="163"/>
      <c r="O1" s="163"/>
      <c r="P1" s="163"/>
      <c r="Q1" s="163"/>
      <c r="R1" s="163"/>
      <c r="S1" s="163"/>
      <c r="T1" s="163"/>
      <c r="U1" s="163"/>
      <c r="V1" s="163"/>
      <c r="W1" s="163"/>
      <c r="X1" s="163"/>
      <c r="Y1" s="163"/>
      <c r="Z1" s="163"/>
      <c r="AA1" s="163"/>
      <c r="AB1" s="163"/>
    </row>
    <row r="2" spans="1:35" x14ac:dyDescent="0.25">
      <c r="A2" s="169" t="s">
        <v>101</v>
      </c>
      <c r="B2" s="169"/>
      <c r="C2" s="169"/>
      <c r="D2" s="50"/>
      <c r="E2" s="50"/>
      <c r="F2" s="50"/>
      <c r="G2" s="50"/>
      <c r="H2" s="50"/>
      <c r="I2" s="50"/>
      <c r="J2" s="50"/>
    </row>
    <row r="3" spans="1:35" x14ac:dyDescent="0.25">
      <c r="A3" s="170" t="s">
        <v>90</v>
      </c>
      <c r="B3" s="170"/>
      <c r="C3" s="39" t="s">
        <v>107</v>
      </c>
      <c r="D3" s="162" t="s">
        <v>174</v>
      </c>
      <c r="E3" s="163"/>
      <c r="F3" s="163"/>
      <c r="G3" s="163"/>
      <c r="H3" s="163"/>
      <c r="I3" s="163"/>
      <c r="J3" s="50"/>
    </row>
    <row r="4" spans="1:35" x14ac:dyDescent="0.25">
      <c r="A4" s="167" t="s">
        <v>98</v>
      </c>
      <c r="B4" s="167"/>
      <c r="C4" s="39">
        <v>1</v>
      </c>
      <c r="D4" s="176" t="s">
        <v>131</v>
      </c>
      <c r="E4" s="176"/>
      <c r="F4" s="176"/>
      <c r="G4" s="176"/>
      <c r="H4" s="176"/>
      <c r="I4" s="176"/>
      <c r="J4" s="176"/>
    </row>
    <row r="5" spans="1:35" x14ac:dyDescent="0.25">
      <c r="A5" s="170" t="s">
        <v>94</v>
      </c>
      <c r="B5" s="170"/>
      <c r="C5" s="39">
        <v>30</v>
      </c>
      <c r="D5" s="50"/>
      <c r="E5" s="50"/>
      <c r="F5" s="50"/>
      <c r="G5" s="50"/>
      <c r="H5" s="50"/>
      <c r="I5" s="50"/>
      <c r="J5" s="50"/>
    </row>
    <row r="6" spans="1:35" x14ac:dyDescent="0.25">
      <c r="A6" s="170" t="s">
        <v>95</v>
      </c>
      <c r="B6" s="170"/>
      <c r="C6" s="39">
        <v>1</v>
      </c>
      <c r="D6" s="50"/>
      <c r="E6" s="50"/>
      <c r="F6" s="50"/>
      <c r="G6" s="50"/>
      <c r="H6" s="50"/>
      <c r="I6" s="50"/>
      <c r="J6" s="50"/>
    </row>
    <row r="7" spans="1:35" x14ac:dyDescent="0.25">
      <c r="A7" s="171" t="s">
        <v>96</v>
      </c>
      <c r="B7" s="172"/>
      <c r="C7" s="40">
        <v>217</v>
      </c>
      <c r="D7" s="50"/>
      <c r="E7" s="50"/>
      <c r="F7" s="50"/>
      <c r="G7" s="50"/>
      <c r="H7" s="50"/>
      <c r="I7" s="50"/>
      <c r="J7" s="50"/>
    </row>
    <row r="8" spans="1:35" x14ac:dyDescent="0.25">
      <c r="A8" s="170" t="s">
        <v>97</v>
      </c>
      <c r="B8" s="170"/>
      <c r="C8" s="39" t="s">
        <v>112</v>
      </c>
      <c r="D8" s="50"/>
      <c r="E8" s="50"/>
      <c r="F8" s="50"/>
      <c r="G8" s="50"/>
      <c r="H8" s="50"/>
      <c r="I8" s="50"/>
      <c r="J8" s="50"/>
    </row>
    <row r="9" spans="1:35" x14ac:dyDescent="0.25">
      <c r="A9" s="169" t="s">
        <v>102</v>
      </c>
      <c r="B9" s="169"/>
      <c r="C9" s="169"/>
      <c r="D9" s="50"/>
      <c r="E9" s="50"/>
      <c r="F9" s="50"/>
      <c r="G9" s="50"/>
      <c r="H9" s="50"/>
      <c r="I9" s="50"/>
      <c r="J9" s="50"/>
    </row>
    <row r="10" spans="1:35" x14ac:dyDescent="0.25">
      <c r="A10" s="167" t="s">
        <v>130</v>
      </c>
      <c r="B10" s="167"/>
      <c r="C10" s="39">
        <v>1</v>
      </c>
      <c r="D10" s="176" t="s">
        <v>131</v>
      </c>
      <c r="E10" s="176"/>
      <c r="F10" s="176"/>
      <c r="G10" s="176"/>
      <c r="H10" s="176"/>
      <c r="I10" s="176"/>
      <c r="J10" s="176"/>
    </row>
    <row r="11" spans="1:35" x14ac:dyDescent="0.25">
      <c r="A11" s="170" t="s">
        <v>99</v>
      </c>
      <c r="B11" s="170"/>
      <c r="C11" s="39">
        <v>30</v>
      </c>
      <c r="D11" s="50"/>
      <c r="E11" s="50"/>
      <c r="F11" s="50"/>
      <c r="G11" s="50"/>
      <c r="H11" s="50"/>
      <c r="I11" s="50"/>
      <c r="J11" s="50"/>
    </row>
    <row r="12" spans="1:35" x14ac:dyDescent="0.25">
      <c r="A12" s="170" t="s">
        <v>100</v>
      </c>
      <c r="B12" s="170"/>
      <c r="C12" s="39">
        <v>0</v>
      </c>
      <c r="D12" s="162" t="s">
        <v>176</v>
      </c>
      <c r="E12" s="163"/>
      <c r="F12" s="163"/>
      <c r="G12" s="163"/>
      <c r="H12" s="163"/>
      <c r="I12" s="163"/>
      <c r="J12" s="50"/>
      <c r="L12" s="9"/>
    </row>
    <row r="13" spans="1:35" x14ac:dyDescent="0.25">
      <c r="A13" s="168" t="s">
        <v>114</v>
      </c>
      <c r="B13" s="168"/>
      <c r="C13" s="40">
        <v>0</v>
      </c>
      <c r="D13" s="50"/>
      <c r="E13" s="50"/>
      <c r="F13" s="50"/>
      <c r="G13" s="50"/>
      <c r="H13" s="50"/>
      <c r="I13" s="50"/>
      <c r="J13" s="50"/>
      <c r="L13" s="9"/>
    </row>
    <row r="14" spans="1:35" x14ac:dyDescent="0.25">
      <c r="A14" s="168" t="s">
        <v>115</v>
      </c>
      <c r="B14" s="168"/>
      <c r="C14" s="40">
        <v>0</v>
      </c>
      <c r="D14" s="50"/>
      <c r="E14" s="50"/>
      <c r="F14" s="50"/>
      <c r="G14" s="50"/>
      <c r="H14" s="50"/>
      <c r="I14" s="50"/>
      <c r="J14" s="50"/>
      <c r="L14" s="9"/>
    </row>
    <row r="15" spans="1:35" x14ac:dyDescent="0.25">
      <c r="A15" s="173" t="s">
        <v>134</v>
      </c>
      <c r="B15" s="173"/>
      <c r="C15" s="173"/>
      <c r="D15" s="50"/>
      <c r="E15" s="50"/>
      <c r="F15" s="50"/>
      <c r="G15" s="50"/>
      <c r="H15" s="50"/>
      <c r="I15" s="50"/>
      <c r="J15" s="50"/>
      <c r="L15" s="9"/>
      <c r="AH15" s="5">
        <v>1000000</v>
      </c>
      <c r="AI15">
        <v>450000</v>
      </c>
    </row>
    <row r="16" spans="1:35" x14ac:dyDescent="0.25">
      <c r="A16" s="174" t="s">
        <v>135</v>
      </c>
      <c r="B16" s="174"/>
      <c r="C16" s="41">
        <v>1000000</v>
      </c>
      <c r="D16" s="50"/>
      <c r="E16" s="50"/>
      <c r="F16" s="50"/>
      <c r="G16" s="50"/>
      <c r="H16" s="50"/>
      <c r="I16" s="50"/>
      <c r="J16" s="50"/>
      <c r="L16" s="9"/>
      <c r="AH16" s="5">
        <v>1250000</v>
      </c>
    </row>
    <row r="17" spans="1:35" x14ac:dyDescent="0.25">
      <c r="A17" s="173" t="s">
        <v>139</v>
      </c>
      <c r="B17" s="173"/>
      <c r="C17" s="173"/>
      <c r="D17" s="50"/>
      <c r="E17" s="50"/>
      <c r="F17" s="50"/>
      <c r="G17" s="50"/>
      <c r="H17" s="50"/>
      <c r="I17" s="50"/>
      <c r="J17" s="50"/>
      <c r="L17" s="9"/>
      <c r="AH17">
        <f>AH16/AH15</f>
        <v>1.25</v>
      </c>
      <c r="AI17">
        <v>1.25</v>
      </c>
    </row>
    <row r="18" spans="1:35" x14ac:dyDescent="0.25">
      <c r="A18" s="174" t="s">
        <v>140</v>
      </c>
      <c r="B18" s="174"/>
      <c r="C18" s="42" t="s">
        <v>142</v>
      </c>
      <c r="D18" s="50"/>
      <c r="E18" s="50"/>
      <c r="F18" s="50"/>
      <c r="G18" s="50"/>
      <c r="H18" s="50"/>
      <c r="I18" s="50"/>
      <c r="J18" s="50"/>
      <c r="L18" s="9"/>
      <c r="AH18" s="160">
        <f>AH15*AH17</f>
        <v>1250000</v>
      </c>
      <c r="AI18" s="160">
        <f>AI15*AI17</f>
        <v>562500</v>
      </c>
    </row>
    <row r="19" spans="1:35" x14ac:dyDescent="0.25">
      <c r="A19" s="175" t="s">
        <v>144</v>
      </c>
      <c r="B19" s="175"/>
      <c r="C19" s="40">
        <v>1</v>
      </c>
      <c r="D19" s="50"/>
      <c r="E19" s="50"/>
      <c r="F19" s="50"/>
      <c r="G19" s="50"/>
      <c r="H19" s="50"/>
      <c r="I19" s="50"/>
      <c r="J19" s="50"/>
      <c r="L19" s="9"/>
      <c r="N19">
        <f>IF(C1="Business / Residential",1,0)</f>
        <v>0</v>
      </c>
    </row>
    <row r="20" spans="1:35" x14ac:dyDescent="0.25">
      <c r="A20" s="44"/>
      <c r="B20" s="44"/>
      <c r="C20" s="43">
        <v>1.1499999999999999</v>
      </c>
      <c r="L20" s="9"/>
    </row>
    <row r="21" spans="1:35" ht="21" x14ac:dyDescent="0.35">
      <c r="A21" s="166" t="s">
        <v>170</v>
      </c>
      <c r="B21" s="166"/>
      <c r="C21" s="166"/>
      <c r="D21" s="166"/>
      <c r="E21" s="166"/>
      <c r="F21" s="166"/>
      <c r="G21" s="166"/>
      <c r="H21" s="166"/>
      <c r="I21" s="166"/>
      <c r="N21">
        <f>IF($C1="Residential",1,0)</f>
        <v>1</v>
      </c>
      <c r="T21">
        <f>IF(AND(K37=0,N37=0),1,0)</f>
        <v>0</v>
      </c>
    </row>
    <row r="22" spans="1:35" x14ac:dyDescent="0.25">
      <c r="A22" s="165" t="s">
        <v>177</v>
      </c>
      <c r="B22" s="165"/>
      <c r="C22" s="165"/>
      <c r="D22" s="165"/>
      <c r="E22" s="165"/>
      <c r="F22" s="165"/>
      <c r="G22" s="165"/>
      <c r="H22" s="165"/>
      <c r="I22" s="165"/>
    </row>
    <row r="23" spans="1:35" x14ac:dyDescent="0.25">
      <c r="A23" s="164" t="str">
        <f>CONCATENATE(C1," Property with a ",C5," Amp ",C3," ",C8,". Usage: ",C6," kWh.",IF(C3="Feedback Meter",CONCATENATE("Feedback of ",C7,"."),"")," Water usge of ",C11,"kl on water restrictions level ",C12,". Property value of ",C16,". With ",C19,"  x  ", C18," .")</f>
        <v>Residential Property with a 30 Amp Credit Meter Single Phase. Usage: 1 kWh. Water usge of 30kl on water restrictions level 0. Property value of 1000000. With 1  x  Pump 5000 litre .</v>
      </c>
      <c r="B23" s="164"/>
      <c r="C23" s="164"/>
      <c r="D23" s="164"/>
      <c r="E23" s="164"/>
      <c r="F23" s="164"/>
      <c r="G23" s="164"/>
      <c r="H23" s="164"/>
      <c r="I23" s="164"/>
    </row>
    <row r="24" spans="1:35" s="33" customFormat="1" ht="45.75" thickBot="1" x14ac:dyDescent="0.3">
      <c r="A24" s="35" t="s">
        <v>78</v>
      </c>
      <c r="B24" s="45" t="s">
        <v>128</v>
      </c>
      <c r="C24" s="45" t="s">
        <v>182</v>
      </c>
      <c r="D24" s="45" t="s">
        <v>128</v>
      </c>
      <c r="E24" s="45" t="s">
        <v>129</v>
      </c>
      <c r="F24" s="45" t="s">
        <v>166</v>
      </c>
      <c r="G24" s="100" t="s">
        <v>178</v>
      </c>
      <c r="H24" s="46" t="s">
        <v>172</v>
      </c>
      <c r="I24" s="46" t="s">
        <v>173</v>
      </c>
      <c r="K24" s="34" t="s">
        <v>77</v>
      </c>
      <c r="L24" s="34" t="s">
        <v>77</v>
      </c>
      <c r="N24" s="34" t="s">
        <v>164</v>
      </c>
      <c r="O24" s="34" t="s">
        <v>164</v>
      </c>
      <c r="Q24" s="34" t="s">
        <v>165</v>
      </c>
      <c r="R24" s="34" t="s">
        <v>165</v>
      </c>
      <c r="T24" s="34" t="s">
        <v>28</v>
      </c>
      <c r="U24" s="34" t="s">
        <v>28</v>
      </c>
    </row>
    <row r="25" spans="1:35" ht="14.25" customHeight="1" x14ac:dyDescent="0.25">
      <c r="A25" s="37" t="s">
        <v>132</v>
      </c>
      <c r="B25" s="36"/>
      <c r="C25" s="38">
        <f>SUM(C27:C108)</f>
        <v>2541.6765483333329</v>
      </c>
      <c r="D25" s="37"/>
      <c r="E25" s="38">
        <f>SUM(E27:E108)</f>
        <v>2729.4443849999998</v>
      </c>
      <c r="F25" s="47">
        <f>IF(C25=0,"",E25/C25-1)</f>
        <v>7.3875582945356566E-2</v>
      </c>
      <c r="G25" s="93"/>
      <c r="H25" s="48"/>
      <c r="I25" s="49"/>
      <c r="K25">
        <v>2025</v>
      </c>
      <c r="L25">
        <v>2024</v>
      </c>
      <c r="N25">
        <v>2025</v>
      </c>
      <c r="O25">
        <v>2024</v>
      </c>
      <c r="Q25">
        <v>2025</v>
      </c>
      <c r="R25">
        <v>2024</v>
      </c>
      <c r="T25">
        <v>2025</v>
      </c>
      <c r="U25">
        <v>2024</v>
      </c>
    </row>
    <row r="26" spans="1:35" ht="14.25" customHeight="1" x14ac:dyDescent="0.25">
      <c r="A26" s="35"/>
      <c r="B26" s="87"/>
      <c r="C26" s="101"/>
      <c r="D26" s="35"/>
      <c r="E26" s="101"/>
      <c r="F26" s="102"/>
      <c r="G26" s="103"/>
      <c r="H26" s="90"/>
      <c r="I26" s="91"/>
    </row>
    <row r="27" spans="1:35" ht="14.25" customHeight="1" thickBot="1" x14ac:dyDescent="0.3">
      <c r="A27" s="134" t="s">
        <v>51</v>
      </c>
      <c r="B27" s="135"/>
      <c r="C27" s="135"/>
      <c r="D27" s="135"/>
      <c r="E27" s="135"/>
      <c r="F27" s="136">
        <f>AVERAGE(F28:F34)</f>
        <v>0.12762463462155083</v>
      </c>
      <c r="G27" s="137">
        <f>IF(C$1="Residential",Increases!B3,IF(Tariff!C$1="Vacant Land",Increases!D3,Increases!C3))</f>
        <v>0.14099999999999999</v>
      </c>
      <c r="H27" s="52"/>
      <c r="I27" s="53"/>
    </row>
    <row r="28" spans="1:35" x14ac:dyDescent="0.25">
      <c r="A28" s="142" t="s">
        <v>79</v>
      </c>
      <c r="B28" s="143"/>
      <c r="C28" s="144">
        <f>(L28+(O28*C5)+R28+(U28*C5))*$C$20</f>
        <v>377.08499999999992</v>
      </c>
      <c r="D28" s="143"/>
      <c r="E28" s="144">
        <f>(K28+(N28*C5)+Q28+(T28*C5))*$C$20</f>
        <v>425.38499999999993</v>
      </c>
      <c r="F28" s="145">
        <f>IF(C28=0,"",E28/C28-1)</f>
        <v>0.1280878316559928</v>
      </c>
      <c r="G28" s="146"/>
      <c r="H28" s="147">
        <f>C28/1.15</f>
        <v>327.9</v>
      </c>
      <c r="I28" s="148">
        <f>E28/1.15</f>
        <v>369.9</v>
      </c>
      <c r="K28">
        <f>IF($C$1="Vacant Land",Electricity!L4,0)</f>
        <v>0</v>
      </c>
      <c r="L28">
        <f>IF($C$1="Vacant Land",Electricity!M4,0)</f>
        <v>0</v>
      </c>
      <c r="N28">
        <f>IF(AND($C$1="Residential",$C$3&lt;&gt;"Feedback Meter"),IF(AND($C$3="Prepaid Meter",$C$5&lt;=30),0,IF($C$8="Single Phase",Electricity!B11,Electricity!B12)),0)</f>
        <v>12.33</v>
      </c>
      <c r="O28">
        <f>IF(AND($C$1="Residential",$C$3&lt;&gt;"Feedback Meter"),IF(AND($C$3="Prepaid Meter",$C$5&lt;=30),0,IF($C$8="Single Phase",Electricity!C11,Electricity!C12)),0)</f>
        <v>10.93</v>
      </c>
      <c r="Q28">
        <f>IF(AND($N$21=1,C3="Feedback Meter"),IF(C5&lt;51,Electricity!B47,IF(C5&lt;80,Electricity!B48,Electricity!B49)),0)</f>
        <v>0</v>
      </c>
      <c r="R28">
        <f>IF(AND($N$21=1,C3="Feedback Meter"),Electricity!C46,0)</f>
        <v>0</v>
      </c>
      <c r="T28">
        <f>IF(AND(K28+N28+Q28=0,N21=0),IF(Tariff!$C$8="Single Phase",Electricity!G4,Electricity!G6),0)</f>
        <v>0</v>
      </c>
      <c r="U28">
        <f>IF(AND(L28+O28+R28=0,N21=0),IF(Tariff!$C$8="Single Phase",Electricity!H4,Electricity!H6),0)</f>
        <v>0</v>
      </c>
    </row>
    <row r="29" spans="1:35" ht="15.75" thickBot="1" x14ac:dyDescent="0.3">
      <c r="A29" s="149" t="s">
        <v>80</v>
      </c>
      <c r="B29" s="150">
        <f>U29*C6</f>
        <v>0</v>
      </c>
      <c r="C29" s="151">
        <f>SUM(B29:B34)</f>
        <v>1.7900899999999997</v>
      </c>
      <c r="D29" s="150">
        <f>T29*C6</f>
        <v>0</v>
      </c>
      <c r="E29" s="151">
        <f>SUM(D29:D34)</f>
        <v>2.0181349999999996</v>
      </c>
      <c r="F29" s="152">
        <f>IF(C29=0,"",E29/C29-1)</f>
        <v>0.12739303610432984</v>
      </c>
      <c r="G29" s="153"/>
      <c r="H29" s="154">
        <f>C29/1.15</f>
        <v>1.5566</v>
      </c>
      <c r="I29" s="155">
        <f>E29/1.15</f>
        <v>1.7548999999999997</v>
      </c>
      <c r="T29">
        <f>IF(T28&gt;0,IF($C$8="Single Phase",Electricity!G5,Electricity!G7),0)</f>
        <v>0</v>
      </c>
      <c r="U29">
        <f>IF(U28&gt;0,IF($C$8="Single Phase",Electricity!H5,Electricity!H7),0)</f>
        <v>0</v>
      </c>
    </row>
    <row r="30" spans="1:35" x14ac:dyDescent="0.25">
      <c r="A30" s="138" t="s">
        <v>55</v>
      </c>
      <c r="B30" s="139">
        <f>(O30*P30)*$C$20</f>
        <v>1.7900899999999997</v>
      </c>
      <c r="C30" s="138"/>
      <c r="D30" s="139">
        <f>(N30*P30)*$C$20</f>
        <v>2.0181349999999996</v>
      </c>
      <c r="E30" s="138"/>
      <c r="F30" s="140">
        <f>IF(B30=0,"",D30/B30-1)</f>
        <v>0.12739303610432984</v>
      </c>
      <c r="G30" s="141"/>
      <c r="H30" s="52">
        <f>B30/1.15</f>
        <v>1.5566</v>
      </c>
      <c r="I30" s="53">
        <f>D30/1.15</f>
        <v>1.7548999999999997</v>
      </c>
      <c r="M30">
        <v>50</v>
      </c>
      <c r="N30">
        <f>IF($N$21&gt;0,IF(AND($C$3="Prepaid Meter",$C$5=30),Electricity!B30,Electricity!B22),0)</f>
        <v>1.7548999999999999</v>
      </c>
      <c r="O30">
        <f>IF($N$21&gt;0,IF(AND($C$3="Prepaid Meter",$C$5=30),Electricity!C30,Electricity!C22),0)</f>
        <v>1.5566</v>
      </c>
      <c r="P30">
        <f>IF(C$6&gt;=M30,M30,C$6)</f>
        <v>1</v>
      </c>
    </row>
    <row r="31" spans="1:35" x14ac:dyDescent="0.25">
      <c r="A31" s="51" t="s">
        <v>56</v>
      </c>
      <c r="B31" s="55">
        <f>(O31*P31)*$C$20</f>
        <v>0</v>
      </c>
      <c r="C31" s="51"/>
      <c r="D31" s="55">
        <f>(N31*P31)*$C$20</f>
        <v>0</v>
      </c>
      <c r="E31" s="51"/>
      <c r="F31" s="54" t="str">
        <f t="shared" ref="F31:F34" si="0">IF(B31=0,"",D31/B31-1)</f>
        <v/>
      </c>
      <c r="G31" s="94"/>
      <c r="H31" s="52">
        <f>B31/1.15</f>
        <v>0</v>
      </c>
      <c r="I31" s="53">
        <f>D31/1.15</f>
        <v>0</v>
      </c>
      <c r="M31">
        <v>350</v>
      </c>
      <c r="N31">
        <f>IF($N$21&gt;0,IF(AND($C$3="Prepaid Meter",$C$5=30),Electricity!B31,Electricity!B23),0)</f>
        <v>2.2545000000000002</v>
      </c>
      <c r="O31">
        <f>IF($N$21&gt;0,IF(AND($C$3="Prepaid Meter",$C$5=30),Electricity!C31,Electricity!C23),0)</f>
        <v>1.9997</v>
      </c>
      <c r="P31">
        <f>IF(C$6&gt;=M31,M31,C$6)-P$30</f>
        <v>0</v>
      </c>
    </row>
    <row r="32" spans="1:35" x14ac:dyDescent="0.25">
      <c r="A32" s="51" t="s">
        <v>57</v>
      </c>
      <c r="B32" s="55">
        <f>(O32*P32)*$C$20</f>
        <v>0</v>
      </c>
      <c r="C32" s="51"/>
      <c r="D32" s="55">
        <f>(N32*P32)*$C$20</f>
        <v>0</v>
      </c>
      <c r="E32" s="51"/>
      <c r="F32" s="54" t="str">
        <f t="shared" si="0"/>
        <v/>
      </c>
      <c r="G32" s="94"/>
      <c r="H32" s="52">
        <f>B32/1.15</f>
        <v>0</v>
      </c>
      <c r="I32" s="53">
        <f>D32/1.15</f>
        <v>0</v>
      </c>
      <c r="M32">
        <v>600</v>
      </c>
      <c r="N32">
        <f>IF($N$21&gt;0,IF(AND($C$3="Prepaid Meter",$C$5=30),Electricity!B32,Electricity!B24),0)</f>
        <v>3.1756000000000002</v>
      </c>
      <c r="O32">
        <f>IF($N$21&gt;0,IF(AND($C$3="Prepaid Meter",$C$5=30),Electricity!C32,Electricity!C24),0)</f>
        <v>2.8167</v>
      </c>
      <c r="P32">
        <f>IF(C$6&gt;=M32,M32,C$6)-P$30-P$31</f>
        <v>0</v>
      </c>
    </row>
    <row r="33" spans="1:24" x14ac:dyDescent="0.25">
      <c r="A33" s="51" t="s">
        <v>58</v>
      </c>
      <c r="B33" s="55">
        <f>(O33*P33)*$C$20</f>
        <v>0</v>
      </c>
      <c r="C33" s="51"/>
      <c r="D33" s="55">
        <f>(N33*P33)*$C$20</f>
        <v>0</v>
      </c>
      <c r="E33" s="51"/>
      <c r="F33" s="54" t="str">
        <f t="shared" si="0"/>
        <v/>
      </c>
      <c r="G33" s="94"/>
      <c r="H33" s="52">
        <f>B33/1.15</f>
        <v>0</v>
      </c>
      <c r="I33" s="53">
        <f>D33/1.15</f>
        <v>0</v>
      </c>
      <c r="M33">
        <v>100000</v>
      </c>
      <c r="N33">
        <f>IF($N$21&gt;0,IF(AND($C$3="Prepaid Meter",$C$5=30),Electricity!B33,Electricity!B25),0)</f>
        <v>3.7566000000000002</v>
      </c>
      <c r="O33">
        <f>IF($N$21&gt;0,IF(AND($C$3="Prepaid Meter",$C$5=30),Electricity!C33,Electricity!C25),0)</f>
        <v>3.3321000000000001</v>
      </c>
      <c r="P33">
        <f>IF(C$6&gt;=M33,M33,C$6)-P$30-P$31-P$32</f>
        <v>0</v>
      </c>
    </row>
    <row r="34" spans="1:24" x14ac:dyDescent="0.25">
      <c r="A34" s="51" t="s">
        <v>133</v>
      </c>
      <c r="B34" s="55">
        <f>(-R34*C7)*$C$20</f>
        <v>0</v>
      </c>
      <c r="C34" s="51"/>
      <c r="D34" s="55">
        <f>(-Q34*C7)*$C$20</f>
        <v>0</v>
      </c>
      <c r="E34" s="51"/>
      <c r="F34" s="54" t="str">
        <f t="shared" si="0"/>
        <v/>
      </c>
      <c r="G34" s="94"/>
      <c r="H34" s="52"/>
      <c r="I34" s="53"/>
      <c r="Q34">
        <f>IF(Q28&gt;0,Electricity!B50,0)</f>
        <v>0</v>
      </c>
      <c r="R34">
        <f>IF(R28&lt;&gt;0,Electricity!C50,0)</f>
        <v>0</v>
      </c>
    </row>
    <row r="35" spans="1:24" x14ac:dyDescent="0.25">
      <c r="A35" s="87"/>
      <c r="B35" s="88"/>
      <c r="C35" s="87"/>
      <c r="D35" s="88"/>
      <c r="E35" s="87"/>
      <c r="F35" s="89"/>
      <c r="G35" s="95"/>
      <c r="H35" s="90"/>
      <c r="I35" s="91"/>
    </row>
    <row r="36" spans="1:24" ht="15.75" thickBot="1" x14ac:dyDescent="0.3">
      <c r="A36" s="111" t="s">
        <v>11</v>
      </c>
      <c r="B36" s="112"/>
      <c r="C36" s="113"/>
      <c r="D36" s="112"/>
      <c r="E36" s="113"/>
      <c r="F36" s="114">
        <f>AVERAGE(F37:F47)</f>
        <v>5.0705715824545236E-2</v>
      </c>
      <c r="G36" s="115">
        <f>IF(C$1="Residential",Increases!B4,IF(Tariff!C$1="Vacant Land",Increases!D4,Increases!C4))</f>
        <v>5.2600000000000001E-2</v>
      </c>
      <c r="H36" s="58"/>
      <c r="I36" s="59"/>
    </row>
    <row r="37" spans="1:24" x14ac:dyDescent="0.25">
      <c r="A37" s="120" t="s">
        <v>127</v>
      </c>
      <c r="B37" s="121"/>
      <c r="C37" s="122">
        <f>(L37+O37+U37)*$C$20</f>
        <v>218.49999999999997</v>
      </c>
      <c r="D37" s="121"/>
      <c r="E37" s="122">
        <f>(K37+N37+T37)*$C$20</f>
        <v>229.99999999999997</v>
      </c>
      <c r="F37" s="123">
        <f>IF(C37=0,"",E37/C37-1)</f>
        <v>5.2631578947368363E-2</v>
      </c>
      <c r="G37" s="124"/>
      <c r="H37" s="125">
        <f>C37/1.15</f>
        <v>190</v>
      </c>
      <c r="I37" s="126">
        <f>E37/1.15</f>
        <v>200</v>
      </c>
      <c r="K37">
        <f>IF($C$1="Vacant Land",Water!L4,0)</f>
        <v>0</v>
      </c>
      <c r="L37">
        <f>IF($C$1="Vacant Land",Water!M4,0)</f>
        <v>0</v>
      </c>
      <c r="N37">
        <f>IF(N21=1,Water!B3,0)</f>
        <v>200</v>
      </c>
      <c r="O37">
        <f>IF(N21=1,Water!C3,0)</f>
        <v>190</v>
      </c>
      <c r="T37">
        <f>IF($T21=1,Water!G3,0)</f>
        <v>0</v>
      </c>
      <c r="U37">
        <f>IF($T21=1,Water!H3,0)</f>
        <v>0</v>
      </c>
    </row>
    <row r="38" spans="1:24" ht="15.75" thickBot="1" x14ac:dyDescent="0.3">
      <c r="A38" s="127" t="s">
        <v>117</v>
      </c>
      <c r="B38" s="128"/>
      <c r="C38" s="129">
        <f>SUM(B38:B47)</f>
        <v>357.82249999999999</v>
      </c>
      <c r="D38" s="128"/>
      <c r="E38" s="129">
        <f>SUM(D38:D47)</f>
        <v>375.64749999999998</v>
      </c>
      <c r="F38" s="130">
        <f>IF(C38=0,"",E38/C38-1)</f>
        <v>4.9815201671219667E-2</v>
      </c>
      <c r="G38" s="131"/>
      <c r="H38" s="132">
        <f>C38/1.15</f>
        <v>311.15000000000003</v>
      </c>
      <c r="I38" s="133">
        <f>E38/1.15</f>
        <v>326.65000000000003</v>
      </c>
    </row>
    <row r="39" spans="1:24" x14ac:dyDescent="0.25">
      <c r="A39" s="116" t="s">
        <v>118</v>
      </c>
      <c r="B39" s="117">
        <f t="shared" ref="B39:B47" si="1">((O39*P39)+(U39*V39))*$C$20</f>
        <v>0</v>
      </c>
      <c r="C39" s="116"/>
      <c r="D39" s="117">
        <f>((N39*P39)+(T39*V39))*$C$20</f>
        <v>0</v>
      </c>
      <c r="E39" s="116"/>
      <c r="F39" s="118" t="str">
        <f>IF(B39=0,"",D39/B39-1)</f>
        <v/>
      </c>
      <c r="G39" s="119"/>
      <c r="H39" s="58"/>
      <c r="I39" s="59"/>
      <c r="M39">
        <f>IF($N$37&gt;0,Water!D5,0)</f>
        <v>3</v>
      </c>
      <c r="N39">
        <f>IF($N$37&gt;0,Water!B5,0)*(IF($M39&gt;$Q$39,1+($R$39/100),1))</f>
        <v>0</v>
      </c>
      <c r="O39">
        <f>IF($N$37&gt;0,Water!C5,0)*(IF($M39&gt;$Q$39,1+($R$39/100),1))</f>
        <v>0</v>
      </c>
      <c r="P39">
        <f>IF(C$11&gt;=M39,M39,C$11)</f>
        <v>3</v>
      </c>
      <c r="Q39">
        <f>_xlfn.XLOOKUP(Tariff!C12,Water!B14:B18,Water!C14:C18)</f>
        <v>0</v>
      </c>
      <c r="R39">
        <f>_xlfn.XLOOKUP(C12,Water!B14:B18,Water!D14:D18)</f>
        <v>0</v>
      </c>
      <c r="S39">
        <f>IF($T$37&gt;0,Water!I5,0)</f>
        <v>0</v>
      </c>
      <c r="T39">
        <f>IF($T$37&gt;0,Water!G5,0)*(IF($S39&gt;$W$39,1+($X$39/100),1))</f>
        <v>0</v>
      </c>
      <c r="U39">
        <f>IF($T$37&gt;0,Water!H5,0)*(IF($S39&gt;$W$39,1+($X$39/100),1))</f>
        <v>0</v>
      </c>
      <c r="V39">
        <f>IF(C$11&gt;=S39,S39,C$11)</f>
        <v>0</v>
      </c>
      <c r="W39">
        <f>_xlfn.XLOOKUP(Tariff!$C12,Water!$G15:$G18,Water!H15:H18,1)</f>
        <v>1</v>
      </c>
      <c r="X39">
        <f>_xlfn.XLOOKUP(Tariff!$C12,Water!$G15:$G18,Water!I15:I18,1)</f>
        <v>1</v>
      </c>
    </row>
    <row r="40" spans="1:24" x14ac:dyDescent="0.25">
      <c r="A40" s="57" t="s">
        <v>119</v>
      </c>
      <c r="B40" s="56">
        <f t="shared" si="1"/>
        <v>33.292500000000004</v>
      </c>
      <c r="C40" s="57"/>
      <c r="D40" s="117">
        <f t="shared" ref="D40:D47" si="2">((N40*P40)+(T40*V40))*$C$20</f>
        <v>35.017499999999998</v>
      </c>
      <c r="E40" s="57"/>
      <c r="F40" s="60">
        <f t="shared" ref="F40:F47" si="3">IF(B40=0,"",D40/B40-1)</f>
        <v>5.1813471502590414E-2</v>
      </c>
      <c r="G40" s="96"/>
      <c r="H40" s="58">
        <f>B40/1.15</f>
        <v>28.950000000000006</v>
      </c>
      <c r="I40" s="59">
        <f>D40/1.15</f>
        <v>30.45</v>
      </c>
      <c r="M40">
        <f>IF($N$37&gt;0,Water!D6,0)</f>
        <v>6</v>
      </c>
      <c r="N40">
        <f>IF($N$37&gt;0,Water!B6,0)*(IF($M40&gt;$Q$39,1+($R$39/100),1))</f>
        <v>10.15</v>
      </c>
      <c r="O40">
        <f>IF($N$37&gt;0,Water!C6,0)*(IF($M40&gt;$Q$39,1+($R$39/100),1))</f>
        <v>9.65</v>
      </c>
      <c r="P40">
        <f>IF(C$11&gt;=M40,M40,C$11)-P39</f>
        <v>3</v>
      </c>
      <c r="S40">
        <f>IF($T$37&gt;0,Water!I6,0)</f>
        <v>0</v>
      </c>
      <c r="T40">
        <f>IF($T$37&gt;0,Water!G6,0)*(IF($S40&gt;$W$39,1+($X$39/100),1))</f>
        <v>0</v>
      </c>
      <c r="U40">
        <f>IF($T$37&gt;0,Water!H6,0)*(IF($S40&gt;$W$39,1+($X$39/100),1))</f>
        <v>0</v>
      </c>
      <c r="V40">
        <f>IF(C$11&gt;=S40,S40,C$11)-V39</f>
        <v>0</v>
      </c>
    </row>
    <row r="41" spans="1:24" x14ac:dyDescent="0.25">
      <c r="A41" s="57" t="s">
        <v>120</v>
      </c>
      <c r="B41" s="56">
        <f t="shared" si="1"/>
        <v>165.83</v>
      </c>
      <c r="C41" s="57"/>
      <c r="D41" s="117">
        <f t="shared" si="2"/>
        <v>173.88</v>
      </c>
      <c r="E41" s="57"/>
      <c r="F41" s="60">
        <f t="shared" si="3"/>
        <v>4.8543689320388328E-2</v>
      </c>
      <c r="G41" s="96"/>
      <c r="H41" s="58">
        <f>B41/1.15</f>
        <v>144.20000000000002</v>
      </c>
      <c r="I41" s="59">
        <f>D41/1.15</f>
        <v>151.20000000000002</v>
      </c>
      <c r="M41">
        <f>IF($N$37&gt;0,Water!D7,0)</f>
        <v>20</v>
      </c>
      <c r="N41">
        <f>IF($N$37&gt;0,Water!B7,0)*(IF($M41&gt;$Q$39,1+($R$39/100),1))</f>
        <v>10.8</v>
      </c>
      <c r="O41">
        <f>IF($N$37&gt;0,Water!C7,0)*(IF($M41&gt;$Q$39,1+($R$39/100),1))</f>
        <v>10.3</v>
      </c>
      <c r="P41">
        <f>IF(C$11&gt;=M41,M41,C$11)-P39-P40</f>
        <v>14</v>
      </c>
      <c r="S41">
        <f>IF($T$37&gt;0,Water!I7,0)</f>
        <v>0</v>
      </c>
      <c r="T41">
        <f>IF($T$37&gt;0,Water!G7,0)*(IF($S41&gt;$W$39,1+($X$39/100),1))</f>
        <v>0</v>
      </c>
      <c r="U41">
        <f>IF($T$37&gt;0,Water!H7,0)*(IF($S41&gt;$W$39,1+($X$39/100),1))</f>
        <v>0</v>
      </c>
      <c r="V41">
        <f>IF(C$11&gt;=S41,S41,C$11)-V39-V40</f>
        <v>0</v>
      </c>
    </row>
    <row r="42" spans="1:24" x14ac:dyDescent="0.25">
      <c r="A42" s="57" t="s">
        <v>121</v>
      </c>
      <c r="B42" s="56">
        <f t="shared" si="1"/>
        <v>158.69999999999999</v>
      </c>
      <c r="C42" s="57"/>
      <c r="D42" s="117">
        <f t="shared" si="2"/>
        <v>166.75</v>
      </c>
      <c r="E42" s="57"/>
      <c r="F42" s="60">
        <f t="shared" si="3"/>
        <v>5.0724637681159424E-2</v>
      </c>
      <c r="G42" s="96"/>
      <c r="H42" s="58">
        <f>B42/1.15</f>
        <v>138</v>
      </c>
      <c r="I42" s="59">
        <f>D42/1.15</f>
        <v>145</v>
      </c>
      <c r="M42">
        <f>IF($N$37&gt;0,Water!D8,0)</f>
        <v>30</v>
      </c>
      <c r="N42">
        <f>IF($N$37&gt;0,Water!B8,0)*(IF($M42&gt;$Q$39,1+($R$39/100),1))</f>
        <v>14.5</v>
      </c>
      <c r="O42">
        <f>IF($N$37&gt;0,Water!C8,0)*(IF($M42&gt;$Q$39,1+($R$39/100),1))</f>
        <v>13.8</v>
      </c>
      <c r="P42">
        <f>IF(C$11&gt;=M42,M42,C$11)-P39-P40-P41</f>
        <v>10</v>
      </c>
      <c r="S42">
        <f>IF($T$37&gt;0,Water!I8,0)</f>
        <v>0</v>
      </c>
      <c r="T42">
        <f>IF($T$37&gt;0,Water!G8,0)*(IF($S42&gt;$W$39,1+($X$39/100),1))</f>
        <v>0</v>
      </c>
      <c r="U42">
        <f>IF($T$37&gt;0,Water!H8,0)*(IF($S42&gt;$W$39,1+($X$39/100),1))</f>
        <v>0</v>
      </c>
      <c r="V42">
        <f>IF(C$11&gt;=S42,S42,C$11)-V39-V40-V41</f>
        <v>0</v>
      </c>
    </row>
    <row r="43" spans="1:24" x14ac:dyDescent="0.25">
      <c r="A43" s="57" t="s">
        <v>122</v>
      </c>
      <c r="B43" s="56">
        <f t="shared" si="1"/>
        <v>0</v>
      </c>
      <c r="C43" s="57"/>
      <c r="D43" s="117">
        <f t="shared" si="2"/>
        <v>0</v>
      </c>
      <c r="E43" s="57"/>
      <c r="F43" s="60" t="str">
        <f t="shared" si="3"/>
        <v/>
      </c>
      <c r="G43" s="96"/>
      <c r="H43" s="58"/>
      <c r="I43" s="59"/>
      <c r="M43">
        <f>IF($N$37&gt;0,Water!D9,0)</f>
        <v>40</v>
      </c>
      <c r="N43">
        <f>IF($N$37&gt;0,Water!B9,0)*(IF($M43&gt;$Q$39,1+($R$39/100),1))</f>
        <v>18.3</v>
      </c>
      <c r="O43">
        <f>IF($N$37&gt;0,Water!C9,0)*(IF($M43&gt;$Q$39,1+($R$39/100),1))</f>
        <v>17.399999999999999</v>
      </c>
      <c r="P43">
        <f>IF(C$11&gt;=M43,M43,C$11)-P39-P40-P41-P42</f>
        <v>0</v>
      </c>
      <c r="S43">
        <f>IF($T$37&gt;0,Water!I9,0)</f>
        <v>0</v>
      </c>
      <c r="T43">
        <f>IF($T$37&gt;0,Water!G9,0)*(IF($S43&gt;$W$39,1+($X$39/100),1))</f>
        <v>0</v>
      </c>
      <c r="U43">
        <f>IF($T$37&gt;0,Water!H9,0)*(IF($S43&gt;$W$39,1+($X$39/100),1))</f>
        <v>0</v>
      </c>
      <c r="V43">
        <f>IF(C$11&gt;=S43,S43,C$11)-V39-V40-V41-V42</f>
        <v>0</v>
      </c>
    </row>
    <row r="44" spans="1:24" x14ac:dyDescent="0.25">
      <c r="A44" s="57" t="s">
        <v>123</v>
      </c>
      <c r="B44" s="56">
        <f t="shared" si="1"/>
        <v>0</v>
      </c>
      <c r="C44" s="57"/>
      <c r="D44" s="117">
        <f t="shared" si="2"/>
        <v>0</v>
      </c>
      <c r="E44" s="57"/>
      <c r="F44" s="60" t="str">
        <f t="shared" si="3"/>
        <v/>
      </c>
      <c r="G44" s="96"/>
      <c r="H44" s="58"/>
      <c r="I44" s="59"/>
      <c r="M44">
        <f>IF($N$37&gt;0,Water!D10,0)</f>
        <v>50</v>
      </c>
      <c r="N44">
        <f>IF($N$37&gt;0,Water!B10,0)*(IF($M44&gt;$Q$39,1+($R$39/100),1))</f>
        <v>25.45</v>
      </c>
      <c r="O44">
        <f>IF($N$37&gt;0,Water!C10,0)*(IF($M44&gt;$Q$39,1+($R$39/100),1))</f>
        <v>24.25</v>
      </c>
      <c r="P44">
        <f>IF(C$11&gt;=M44,M44,C$11)-P39-P40-P41-P42-P43</f>
        <v>0</v>
      </c>
      <c r="S44">
        <f>IF($T$37&gt;0,Water!I10,0)</f>
        <v>0</v>
      </c>
      <c r="T44">
        <f>IF($T$37&gt;0,Water!G10,0)*(IF($S44&gt;$W$39,1+($X$39/100),1))</f>
        <v>0</v>
      </c>
      <c r="U44">
        <f>IF($T$37&gt;0,Water!H10,0)*(IF($S44&gt;$W$39,1+($X$39/100),1))</f>
        <v>0</v>
      </c>
      <c r="V44">
        <f>IF(C$11&gt;=S44,S44,C$11)-V39-V40-V41-V42-V43</f>
        <v>0</v>
      </c>
    </row>
    <row r="45" spans="1:24" x14ac:dyDescent="0.25">
      <c r="A45" s="57" t="s">
        <v>124</v>
      </c>
      <c r="B45" s="56">
        <f t="shared" si="1"/>
        <v>0</v>
      </c>
      <c r="C45" s="57"/>
      <c r="D45" s="117">
        <f t="shared" si="2"/>
        <v>0</v>
      </c>
      <c r="E45" s="57"/>
      <c r="F45" s="60" t="str">
        <f t="shared" si="3"/>
        <v/>
      </c>
      <c r="G45" s="96"/>
      <c r="H45" s="58"/>
      <c r="I45" s="59"/>
      <c r="M45">
        <f>IF($N$37&gt;0,Water!D11,0)</f>
        <v>60</v>
      </c>
      <c r="N45">
        <f>IF($N$37&gt;0,Water!B11,0)*(IF($M45&gt;$Q$39,1+($R$39/100),1))</f>
        <v>40.450000000000003</v>
      </c>
      <c r="O45">
        <f>IF($N$37&gt;0,Water!C11,0)*(IF($M45&gt;$Q$39,1+($R$39/100),1))</f>
        <v>38.5</v>
      </c>
      <c r="P45">
        <f>IF(C$11&gt;=M45,M45,C$11)-P39-P40-P41-P42-P43-P44</f>
        <v>0</v>
      </c>
      <c r="S45">
        <f>IF($T$37&gt;0,Water!I11,0)</f>
        <v>0</v>
      </c>
      <c r="T45">
        <f>IF($T$37&gt;0,Water!G11,0)*(IF($S45&gt;$W$39,1+($X$39/100),1))</f>
        <v>0</v>
      </c>
      <c r="U45">
        <f>IF($T$37&gt;0,Water!H11,0)*(IF($S45&gt;$W$39,1+($X$39/100),1))</f>
        <v>0</v>
      </c>
      <c r="V45">
        <f>IF(C$11&gt;=S45,S45,C$11)-V39-V40-V41-V42-V43-V44</f>
        <v>0</v>
      </c>
    </row>
    <row r="46" spans="1:24" x14ac:dyDescent="0.25">
      <c r="A46" s="57" t="s">
        <v>125</v>
      </c>
      <c r="B46" s="56">
        <f t="shared" si="1"/>
        <v>0</v>
      </c>
      <c r="C46" s="57"/>
      <c r="D46" s="117">
        <f t="shared" si="2"/>
        <v>0</v>
      </c>
      <c r="E46" s="57"/>
      <c r="F46" s="60" t="str">
        <f t="shared" si="3"/>
        <v/>
      </c>
      <c r="G46" s="96"/>
      <c r="H46" s="58"/>
      <c r="I46" s="59"/>
      <c r="M46">
        <f>IF($N$37&gt;0,Water!D12,0)</f>
        <v>70</v>
      </c>
      <c r="N46">
        <f>IF($N$37&gt;0,Water!B12,0)*(IF($M46&gt;$Q$39,1+($R$39/100),1))</f>
        <v>55.35</v>
      </c>
      <c r="O46">
        <f>IF($N$37&gt;0,Water!C12,0)*(IF($M46&gt;$Q$39,1+($R$39/100),1))</f>
        <v>52.7</v>
      </c>
      <c r="P46">
        <f>IF(C$11&gt;=M46,M46,C$11)-P39-P40-P41-P42-P43-P44-P45</f>
        <v>0</v>
      </c>
      <c r="S46">
        <f>IF($T$37&gt;0,Water!I12,0)</f>
        <v>0</v>
      </c>
      <c r="T46">
        <f>IF($T$37&gt;0,Water!G12,0)*(IF($S46&gt;$W$39,1+($X$39/100),1))</f>
        <v>0</v>
      </c>
      <c r="U46">
        <f>IF($T$37&gt;0,Water!H12,0)*(IF($S46&gt;$W$39,1+($X$39/100),1))</f>
        <v>0</v>
      </c>
      <c r="V46">
        <f>IF(C$11&gt;=S46,S46,C$11)-V39-V40-V41-V42-V43-V44-V45</f>
        <v>0</v>
      </c>
    </row>
    <row r="47" spans="1:24" x14ac:dyDescent="0.25">
      <c r="A47" s="57" t="s">
        <v>126</v>
      </c>
      <c r="B47" s="56">
        <f t="shared" si="1"/>
        <v>0</v>
      </c>
      <c r="C47" s="57"/>
      <c r="D47" s="117">
        <f t="shared" si="2"/>
        <v>0</v>
      </c>
      <c r="E47" s="57"/>
      <c r="F47" s="60" t="str">
        <f t="shared" si="3"/>
        <v/>
      </c>
      <c r="G47" s="96"/>
      <c r="H47" s="58"/>
      <c r="I47" s="59"/>
      <c r="M47">
        <f>IF($N$37&gt;0,Water!D13,0)</f>
        <v>10000</v>
      </c>
      <c r="N47">
        <f>IF($N$37&gt;0,Water!B13,0)*(IF($M47&gt;$Q$39,1+($R$39/100),1))</f>
        <v>71.900000000000006</v>
      </c>
      <c r="O47">
        <f>IF($N$37&gt;0,Water!C13,0)*(IF($M47&gt;$Q$39,1+($R$39/100),1))</f>
        <v>68.5</v>
      </c>
      <c r="P47">
        <f>IF(C$11&gt;=M47,M47,C$11)-P39-P40-P41-P42-P43-P44-P45-P46</f>
        <v>0</v>
      </c>
      <c r="S47">
        <f>IF($T$37&gt;0,Water!I13,0)</f>
        <v>0</v>
      </c>
      <c r="T47">
        <f>IF($T$37&gt;0,Water!G13,0)*(IF($S47&gt;$W$39,1+($X$39/100),1))</f>
        <v>0</v>
      </c>
      <c r="U47">
        <f>IF($T$37&gt;0,Water!H13,0)*(IF($S47&gt;$W$39,1+($X$39/100),1))</f>
        <v>0</v>
      </c>
      <c r="V47">
        <f>IF(C$11&gt;=S47,S47,C$11)-V39-V40-V41-V42-V43-V44-V45-V46</f>
        <v>0</v>
      </c>
    </row>
    <row r="48" spans="1:24" x14ac:dyDescent="0.25">
      <c r="A48" s="87"/>
      <c r="B48" s="88"/>
      <c r="C48" s="87"/>
      <c r="D48" s="88"/>
      <c r="E48" s="87"/>
      <c r="F48" s="89"/>
      <c r="G48" s="95"/>
      <c r="H48" s="90"/>
      <c r="I48" s="91"/>
    </row>
    <row r="49" spans="1:23" x14ac:dyDescent="0.25">
      <c r="A49" s="61" t="s">
        <v>45</v>
      </c>
      <c r="B49" s="62"/>
      <c r="C49" s="63"/>
      <c r="D49" s="62"/>
      <c r="E49" s="63"/>
      <c r="F49" s="104">
        <f>AVERAGE(F50:F52)</f>
        <v>7.7203856749311184E-2</v>
      </c>
      <c r="G49" s="107">
        <f>IF(C$1="Residential",Increases!B5,IF(Tariff!C$1="Vacant Land",Increases!D5,Increases!C5))</f>
        <v>7.1999999999999995E-2</v>
      </c>
      <c r="H49" s="64"/>
      <c r="I49" s="65"/>
    </row>
    <row r="50" spans="1:23" x14ac:dyDescent="0.25">
      <c r="A50" s="63" t="s">
        <v>137</v>
      </c>
      <c r="B50" s="62"/>
      <c r="C50" s="66">
        <f>(O50+L50)*$C$20</f>
        <v>69</v>
      </c>
      <c r="D50" s="63"/>
      <c r="E50" s="66">
        <f>(N50+K50)*$C$20</f>
        <v>74.75</v>
      </c>
      <c r="F50" s="67">
        <f>IF(C50=0,"",E50/C50-1)</f>
        <v>8.3333333333333259E-2</v>
      </c>
      <c r="G50" s="97"/>
      <c r="H50" s="68">
        <f>C50/1.15</f>
        <v>60.000000000000007</v>
      </c>
      <c r="I50" s="69">
        <f>E50/1.15</f>
        <v>65</v>
      </c>
      <c r="K50">
        <f>IF($C$1="Vacant Land",Sewerage!L8,0)</f>
        <v>0</v>
      </c>
      <c r="L50">
        <f>IF($C$1="Vacant Land",Sewerage!M8,0)</f>
        <v>0</v>
      </c>
      <c r="N50">
        <f>IF(SUM($N19:$N21)&gt;0,IF($C$18="Water borne",Sewerage!B4,Sewerage!L8),0)</f>
        <v>65</v>
      </c>
      <c r="O50">
        <f>IF(SUM($N19:$N21)&gt;0,IF($C$18="Water borne",Sewerage!C4,Sewerage!M8),0)</f>
        <v>60</v>
      </c>
    </row>
    <row r="51" spans="1:23" x14ac:dyDescent="0.25">
      <c r="A51" s="63" t="s">
        <v>138</v>
      </c>
      <c r="B51" s="62"/>
      <c r="C51" s="66">
        <f>(U51)*$C$20</f>
        <v>0</v>
      </c>
      <c r="D51" s="63"/>
      <c r="E51" s="66">
        <f>(T51)*$C$20</f>
        <v>0</v>
      </c>
      <c r="F51" s="67" t="str">
        <f>IF(C51=0,"",E51/C51-1)</f>
        <v/>
      </c>
      <c r="G51" s="97"/>
      <c r="H51" s="64"/>
      <c r="I51" s="65"/>
      <c r="T51">
        <f>(V51*$C13)+($C14*V52)</f>
        <v>0</v>
      </c>
      <c r="U51">
        <f>(W51*$C13)+($C14*W52)</f>
        <v>0</v>
      </c>
      <c r="V51">
        <f>IF($T$21=1,Sewerage!G4,0)</f>
        <v>0</v>
      </c>
      <c r="W51">
        <f>IF($T$21=1,Sewerage!H4,0)</f>
        <v>0</v>
      </c>
    </row>
    <row r="52" spans="1:23" x14ac:dyDescent="0.25">
      <c r="A52" s="63" t="s">
        <v>145</v>
      </c>
      <c r="B52" s="62"/>
      <c r="C52" s="66">
        <f>(O52*C19)*$C$20</f>
        <v>695.75</v>
      </c>
      <c r="D52" s="63"/>
      <c r="E52" s="66">
        <f>(N52*C19)*$C$20</f>
        <v>745.19999999999993</v>
      </c>
      <c r="F52" s="67">
        <f>IF(C52=0,"",E52/C52-1)</f>
        <v>7.1074380165289108E-2</v>
      </c>
      <c r="G52" s="97"/>
      <c r="H52" s="68">
        <f>C52/1.15</f>
        <v>605</v>
      </c>
      <c r="I52" s="69">
        <f>E52/1.15</f>
        <v>648</v>
      </c>
      <c r="N52">
        <f>IF(SUM($N$19:$N$21)&gt;0,IF($C$18="Pump 5000 litre",Sewerage!B10,IF($C$18="Pump 8000 litre",Sewerage!B11,0)),0)</f>
        <v>648</v>
      </c>
      <c r="O52">
        <f>IF(SUM($N$19:$N$21)&gt;0,IF($C$18="Pump 5000 litre",Sewerage!C10,IF($C$18="Pump 8000 litre",Sewerage!C11,0)),0)</f>
        <v>605</v>
      </c>
      <c r="V52">
        <f>IF($T$21=1,Sewerage!G5,0)</f>
        <v>0</v>
      </c>
      <c r="W52">
        <f>IF($T$21=1,Sewerage!H5,0)</f>
        <v>0</v>
      </c>
    </row>
    <row r="53" spans="1:23" x14ac:dyDescent="0.25">
      <c r="A53" s="87"/>
      <c r="B53" s="87"/>
      <c r="C53" s="92"/>
      <c r="D53" s="87"/>
      <c r="E53" s="92"/>
      <c r="F53" s="89"/>
      <c r="G53" s="95"/>
      <c r="H53" s="90"/>
      <c r="I53" s="91"/>
    </row>
    <row r="54" spans="1:23" x14ac:dyDescent="0.25">
      <c r="A54" s="70" t="s">
        <v>146</v>
      </c>
      <c r="B54" s="71"/>
      <c r="C54" s="72"/>
      <c r="D54" s="71"/>
      <c r="E54" s="72"/>
      <c r="F54" s="105">
        <f>AVERAGE(F55:F56)</f>
        <v>0.11363636363636376</v>
      </c>
      <c r="G54" s="108">
        <f>IF(C$1="Residential",Increases!B6,IF(Tariff!C$1="Vacant Land",Increases!D6,Increases!C6))</f>
        <v>0.11269999999999999</v>
      </c>
      <c r="H54" s="73"/>
      <c r="I54" s="74"/>
    </row>
    <row r="55" spans="1:23" x14ac:dyDescent="0.25">
      <c r="A55" s="71" t="s">
        <v>147</v>
      </c>
      <c r="B55" s="71"/>
      <c r="C55" s="72">
        <f>(O55+L55)*$C$20</f>
        <v>252.99999999999997</v>
      </c>
      <c r="D55" s="71"/>
      <c r="E55" s="72">
        <f>(N55+K55)*$C$20</f>
        <v>281.75</v>
      </c>
      <c r="F55" s="75">
        <f>IF(C55=0,"",E55/C55-1)</f>
        <v>0.11363636363636376</v>
      </c>
      <c r="G55" s="98"/>
      <c r="H55" s="76">
        <f>C55/1.15</f>
        <v>220</v>
      </c>
      <c r="I55" s="77">
        <f>E55/1.15</f>
        <v>245.00000000000003</v>
      </c>
      <c r="K55">
        <f>IF($C$1="Vacant Land",Refuse!L4,0)</f>
        <v>0</v>
      </c>
      <c r="L55">
        <f>IF($C$1="Vacant Land",Refuse!M4,0)</f>
        <v>0</v>
      </c>
      <c r="N55">
        <f>IF(SUM($N$19:$N$21)&gt;0,Refuse!B3,0)</f>
        <v>245</v>
      </c>
      <c r="O55">
        <f>IF(SUM($N$19:$N$21)&gt;0,Refuse!C3,0)</f>
        <v>220</v>
      </c>
    </row>
    <row r="56" spans="1:23" x14ac:dyDescent="0.25">
      <c r="A56" s="71" t="s">
        <v>148</v>
      </c>
      <c r="B56" s="71"/>
      <c r="C56" s="72">
        <f>(U56)*$C$20</f>
        <v>0</v>
      </c>
      <c r="D56" s="71"/>
      <c r="E56" s="72">
        <f>(T56)*$C$20</f>
        <v>0</v>
      </c>
      <c r="F56" s="75" t="str">
        <f>IF(C56=0,"",E56/C56-1)</f>
        <v/>
      </c>
      <c r="G56" s="98"/>
      <c r="H56" s="73"/>
      <c r="I56" s="74"/>
      <c r="T56">
        <f>IF($T$21=1,Refuse!G3,0)</f>
        <v>0</v>
      </c>
      <c r="U56">
        <f>IF($T$21=1,Refuse!H3,0)</f>
        <v>0</v>
      </c>
    </row>
    <row r="57" spans="1:23" x14ac:dyDescent="0.25">
      <c r="A57" s="87"/>
      <c r="B57" s="87"/>
      <c r="C57" s="92"/>
      <c r="D57" s="87"/>
      <c r="E57" s="92"/>
      <c r="F57" s="89"/>
      <c r="G57" s="95"/>
      <c r="H57" s="90"/>
      <c r="I57" s="91"/>
    </row>
    <row r="58" spans="1:23" x14ac:dyDescent="0.25">
      <c r="A58" s="78" t="s">
        <v>167</v>
      </c>
      <c r="B58" s="79" t="s">
        <v>169</v>
      </c>
      <c r="C58" s="80"/>
      <c r="D58" s="79" t="s">
        <v>169</v>
      </c>
      <c r="E58" s="80"/>
      <c r="F58" s="106">
        <f>F59</f>
        <v>4.5654069985739509E-2</v>
      </c>
      <c r="G58" s="109">
        <f>IF(C$1="Residential",Increases!B7,IF(Tariff!C$1="Vacant Land",Increases!D7,Increases!C7))</f>
        <v>0.06</v>
      </c>
      <c r="H58" s="81"/>
      <c r="I58" s="82"/>
      <c r="O58">
        <f>1130/2000000</f>
        <v>5.6499999999999996E-4</v>
      </c>
    </row>
    <row r="59" spans="1:23" ht="15.75" thickBot="1" x14ac:dyDescent="0.3">
      <c r="A59" s="80" t="s">
        <v>168</v>
      </c>
      <c r="B59" s="83">
        <f>((L59+O59+U59)*(C16))</f>
        <v>6835</v>
      </c>
      <c r="C59" s="83">
        <f>((L59+O59+U59)*(C16-1500))/12</f>
        <v>568.72895833333325</v>
      </c>
      <c r="D59" s="83">
        <f>(K59+N59+T59)*C16</f>
        <v>7245</v>
      </c>
      <c r="E59" s="83">
        <f>(K59+N59+T59)*(C16-15000)/12</f>
        <v>594.69375000000002</v>
      </c>
      <c r="F59" s="84">
        <f>IF(C59=0,"",E59/C59-1)</f>
        <v>4.5654069985739509E-2</v>
      </c>
      <c r="G59" s="99"/>
      <c r="H59" s="85"/>
      <c r="I59" s="86"/>
      <c r="K59">
        <f>IF($C$1="Vacant Land",Valution!L3,0)</f>
        <v>0</v>
      </c>
      <c r="L59">
        <f>IF($C$1="Vacant Land",Valution!M3,0)</f>
        <v>0</v>
      </c>
      <c r="N59">
        <f>IF($C$1="Residential",Valution!B3,0)</f>
        <v>7.2449999999999997E-3</v>
      </c>
      <c r="O59">
        <f>IF($C$1="Residential",Valution!C3,0)</f>
        <v>6.8349999999999999E-3</v>
      </c>
      <c r="T59">
        <f>IF($T$21=1,Valution!G3,0)</f>
        <v>0</v>
      </c>
      <c r="U59">
        <f>IF($T$21=1,Valution!H3,0)</f>
        <v>0</v>
      </c>
    </row>
    <row r="61" spans="1:23" x14ac:dyDescent="0.25">
      <c r="O61">
        <f>0.006835*1500000/12</f>
        <v>854.375</v>
      </c>
    </row>
    <row r="62" spans="1:23" x14ac:dyDescent="0.25">
      <c r="E62" s="159"/>
    </row>
    <row r="63" spans="1:23" x14ac:dyDescent="0.25">
      <c r="E63" s="159"/>
    </row>
  </sheetData>
  <mergeCells count="27">
    <mergeCell ref="A18:B18"/>
    <mergeCell ref="A19:B19"/>
    <mergeCell ref="A11:B11"/>
    <mergeCell ref="A12:B12"/>
    <mergeCell ref="D4:J4"/>
    <mergeCell ref="A4:B4"/>
    <mergeCell ref="A10:B10"/>
    <mergeCell ref="A15:C15"/>
    <mergeCell ref="A16:B16"/>
    <mergeCell ref="D10:J10"/>
    <mergeCell ref="A9:C9"/>
    <mergeCell ref="D1:AB1"/>
    <mergeCell ref="A23:I23"/>
    <mergeCell ref="A22:I22"/>
    <mergeCell ref="A21:I21"/>
    <mergeCell ref="D3:I3"/>
    <mergeCell ref="D12:I12"/>
    <mergeCell ref="A1:B1"/>
    <mergeCell ref="A13:B13"/>
    <mergeCell ref="A14:B14"/>
    <mergeCell ref="A2:C2"/>
    <mergeCell ref="A3:B3"/>
    <mergeCell ref="A5:B5"/>
    <mergeCell ref="A6:B6"/>
    <mergeCell ref="A7:B7"/>
    <mergeCell ref="A8:B8"/>
    <mergeCell ref="A17:C17"/>
  </mergeCells>
  <conditionalFormatting sqref="A7 C7">
    <cfRule type="expression" dxfId="4" priority="3">
      <formula>$C$3="Feedback Meter"</formula>
    </cfRule>
  </conditionalFormatting>
  <conditionalFormatting sqref="A13:C14">
    <cfRule type="expression" dxfId="3" priority="2">
      <formula>OR($C$1="Business (Small)",$C$1="Business / Residential")</formula>
    </cfRule>
  </conditionalFormatting>
  <conditionalFormatting sqref="A19:C20">
    <cfRule type="expression" dxfId="2" priority="1">
      <formula>OR($C$18="Pump 8000 litre",$C$18="Pump 5000 litre")</formula>
    </cfRule>
  </conditionalFormatting>
  <conditionalFormatting sqref="D4">
    <cfRule type="expression" dxfId="1" priority="6">
      <formula>OR($C$4=1,$C$4="")</formula>
    </cfRule>
  </conditionalFormatting>
  <conditionalFormatting sqref="D10">
    <cfRule type="expression" dxfId="0" priority="5">
      <formula>OR($C$10=1,$C$10="")</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7">
        <x14:dataValidation type="list" allowBlank="1" showInputMessage="1" showErrorMessage="1" xr:uid="{C08D0C9F-53F3-4834-ABE1-A9A22345D4B4}">
          <x14:formula1>
            <xm:f>Lookup!$A$2:$A$10</xm:f>
          </x14:formula1>
          <xm:sqref>C1</xm:sqref>
        </x14:dataValidation>
        <x14:dataValidation type="list" allowBlank="1" showInputMessage="1" showErrorMessage="1" xr:uid="{8454CE87-389A-4829-988F-0DE35820CA13}">
          <x14:formula1>
            <xm:f>Lookup!$B$2:$B$10</xm:f>
          </x14:formula1>
          <xm:sqref>C3</xm:sqref>
        </x14:dataValidation>
        <x14:dataValidation type="list" allowBlank="1" showInputMessage="1" showErrorMessage="1" xr:uid="{740F1A6B-68C2-4836-BC7D-350B5A8D9A7E}">
          <x14:formula1>
            <xm:f>Lookup!$D$2:$D$11</xm:f>
          </x14:formula1>
          <xm:sqref>C4 C10</xm:sqref>
        </x14:dataValidation>
        <x14:dataValidation type="list" allowBlank="1" showInputMessage="1" showErrorMessage="1" xr:uid="{55F73B79-6D5C-4172-A40E-7F7958C8F05F}">
          <x14:formula1>
            <xm:f>Lookup!$E$2:$E$10</xm:f>
          </x14:formula1>
          <xm:sqref>C8</xm:sqref>
        </x14:dataValidation>
        <x14:dataValidation type="list" allowBlank="1" showInputMessage="1" showErrorMessage="1" xr:uid="{FAF33ABE-AD0B-4E80-B5C2-5107CF428617}">
          <x14:formula1>
            <xm:f>Lookup!$F$2:$F$6</xm:f>
          </x14:formula1>
          <xm:sqref>C12</xm:sqref>
        </x14:dataValidation>
        <x14:dataValidation type="list" allowBlank="1" showInputMessage="1" showErrorMessage="1" xr:uid="{E7A887F8-5341-4781-8EBB-D3DF8A0C1FFE}">
          <x14:formula1>
            <xm:f>Lookup!$F$2:$F$12</xm:f>
          </x14:formula1>
          <xm:sqref>C13:C14 C19</xm:sqref>
        </x14:dataValidation>
        <x14:dataValidation type="list" allowBlank="1" showInputMessage="1" showErrorMessage="1" xr:uid="{F12A22FF-B2B1-43CC-8D0B-CC640B1EA741}">
          <x14:formula1>
            <xm:f>Lookup!$G$2:$G$8</xm:f>
          </x14:formula1>
          <xm:sqref>C18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600D6-BF7B-4212-81EA-927A08571D10}">
  <dimension ref="A2:D7"/>
  <sheetViews>
    <sheetView workbookViewId="0">
      <selection activeCell="B5" sqref="B5"/>
    </sheetView>
  </sheetViews>
  <sheetFormatPr defaultRowHeight="15" x14ac:dyDescent="0.25"/>
  <cols>
    <col min="2" max="2" width="13.28515625" customWidth="1"/>
    <col min="3" max="3" width="13.5703125" customWidth="1"/>
    <col min="4" max="4" width="14.140625" customWidth="1"/>
  </cols>
  <sheetData>
    <row r="2" spans="1:4" x14ac:dyDescent="0.25">
      <c r="A2" s="36"/>
      <c r="B2" s="36" t="s">
        <v>16</v>
      </c>
      <c r="C2" s="36" t="s">
        <v>28</v>
      </c>
      <c r="D2" s="36" t="s">
        <v>106</v>
      </c>
    </row>
    <row r="3" spans="1:4" x14ac:dyDescent="0.25">
      <c r="A3" s="36" t="s">
        <v>179</v>
      </c>
      <c r="B3" s="110">
        <v>0.14099999999999999</v>
      </c>
      <c r="C3" s="110">
        <v>0.14099999999999999</v>
      </c>
      <c r="D3" s="110">
        <v>0.14099999999999999</v>
      </c>
    </row>
    <row r="4" spans="1:4" x14ac:dyDescent="0.25">
      <c r="A4" s="36" t="s">
        <v>102</v>
      </c>
      <c r="B4" s="110">
        <v>5.2600000000000001E-2</v>
      </c>
      <c r="C4" s="110">
        <v>4.8000000000000001E-2</v>
      </c>
      <c r="D4" s="110">
        <v>5.2600000000000001E-2</v>
      </c>
    </row>
    <row r="5" spans="1:4" x14ac:dyDescent="0.25">
      <c r="A5" s="36" t="s">
        <v>139</v>
      </c>
      <c r="B5" s="110">
        <v>7.1999999999999995E-2</v>
      </c>
      <c r="C5" s="110">
        <v>6.9000000000000006E-2</v>
      </c>
      <c r="D5" s="110">
        <v>0.11360000000000001</v>
      </c>
    </row>
    <row r="6" spans="1:4" x14ac:dyDescent="0.25">
      <c r="A6" s="36" t="s">
        <v>180</v>
      </c>
      <c r="B6" s="110">
        <v>0.11269999999999999</v>
      </c>
      <c r="C6" s="110">
        <v>9.8000000000000004E-2</v>
      </c>
      <c r="D6" s="110">
        <v>0.127</v>
      </c>
    </row>
    <row r="7" spans="1:4" x14ac:dyDescent="0.25">
      <c r="A7" s="36" t="s">
        <v>134</v>
      </c>
      <c r="B7" s="110">
        <v>0.06</v>
      </c>
      <c r="C7" s="110">
        <v>7.0000000000000007E-2</v>
      </c>
      <c r="D7" s="110">
        <v>0.06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664B1-4ECE-4646-80C5-AFEA6032D268}">
  <dimension ref="A1:M3"/>
  <sheetViews>
    <sheetView workbookViewId="0">
      <selection activeCell="B3" sqref="B3"/>
    </sheetView>
  </sheetViews>
  <sheetFormatPr defaultRowHeight="15" x14ac:dyDescent="0.25"/>
  <sheetData>
    <row r="1" spans="1:13" x14ac:dyDescent="0.25">
      <c r="A1" t="s">
        <v>149</v>
      </c>
    </row>
    <row r="2" spans="1:13" x14ac:dyDescent="0.25">
      <c r="A2" t="s">
        <v>16</v>
      </c>
      <c r="B2">
        <v>2025</v>
      </c>
      <c r="C2">
        <v>2024</v>
      </c>
      <c r="F2" t="s">
        <v>28</v>
      </c>
      <c r="G2">
        <v>2025</v>
      </c>
      <c r="H2">
        <v>2024</v>
      </c>
      <c r="K2" t="s">
        <v>77</v>
      </c>
      <c r="L2">
        <v>2025</v>
      </c>
      <c r="M2">
        <v>2024</v>
      </c>
    </row>
    <row r="3" spans="1:13" x14ac:dyDescent="0.25">
      <c r="A3" t="s">
        <v>136</v>
      </c>
      <c r="B3">
        <v>7.2449999999999997E-3</v>
      </c>
      <c r="C3">
        <v>6.8349999999999999E-3</v>
      </c>
      <c r="F3" t="s">
        <v>136</v>
      </c>
      <c r="G3">
        <v>9.1909999999999995E-3</v>
      </c>
      <c r="H3">
        <v>8.5900000000000004E-3</v>
      </c>
      <c r="K3" t="s">
        <v>136</v>
      </c>
      <c r="L3">
        <v>7.7869999999999997E-3</v>
      </c>
      <c r="M3">
        <v>7.3460000000000001E-3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9193B-129C-4092-AD6B-DB81F6BE3EAD}">
  <dimension ref="A1:Q19"/>
  <sheetViews>
    <sheetView workbookViewId="0">
      <selection activeCell="Q7" sqref="Q7"/>
    </sheetView>
  </sheetViews>
  <sheetFormatPr defaultRowHeight="15" x14ac:dyDescent="0.25"/>
  <cols>
    <col min="1" max="1" width="27.42578125" customWidth="1"/>
    <col min="6" max="6" width="28.42578125" customWidth="1"/>
    <col min="11" max="11" width="33.42578125" customWidth="1"/>
  </cols>
  <sheetData>
    <row r="1" spans="1:17" x14ac:dyDescent="0.25">
      <c r="A1" t="s">
        <v>11</v>
      </c>
    </row>
    <row r="2" spans="1:17" x14ac:dyDescent="0.25">
      <c r="A2" t="s">
        <v>16</v>
      </c>
      <c r="B2">
        <v>2025</v>
      </c>
      <c r="C2">
        <v>2024</v>
      </c>
      <c r="F2" t="s">
        <v>28</v>
      </c>
      <c r="G2">
        <v>2025</v>
      </c>
      <c r="H2">
        <v>2024</v>
      </c>
      <c r="K2" t="s">
        <v>77</v>
      </c>
      <c r="L2">
        <v>2025</v>
      </c>
      <c r="M2">
        <v>2024</v>
      </c>
    </row>
    <row r="3" spans="1:17" ht="45" x14ac:dyDescent="0.25">
      <c r="A3" s="1" t="s">
        <v>0</v>
      </c>
      <c r="B3" s="2">
        <v>200</v>
      </c>
      <c r="C3" s="3">
        <v>190</v>
      </c>
      <c r="F3" s="1" t="s">
        <v>17</v>
      </c>
      <c r="G3" s="11">
        <v>236</v>
      </c>
      <c r="H3" s="9">
        <v>225</v>
      </c>
      <c r="K3" s="24" t="s">
        <v>163</v>
      </c>
      <c r="P3">
        <v>213</v>
      </c>
      <c r="Q3">
        <f>P3/B3</f>
        <v>1.0649999999999999</v>
      </c>
    </row>
    <row r="4" spans="1:17" x14ac:dyDescent="0.25">
      <c r="A4" s="4" t="s">
        <v>1</v>
      </c>
      <c r="B4" s="5"/>
      <c r="C4" s="5"/>
      <c r="F4" s="1" t="s">
        <v>18</v>
      </c>
      <c r="G4" s="12"/>
      <c r="H4" s="7"/>
      <c r="K4" t="s">
        <v>158</v>
      </c>
      <c r="L4">
        <v>200</v>
      </c>
      <c r="M4">
        <v>190</v>
      </c>
    </row>
    <row r="5" spans="1:17" x14ac:dyDescent="0.25">
      <c r="A5" s="6" t="s">
        <v>2</v>
      </c>
      <c r="B5" s="5">
        <v>0</v>
      </c>
      <c r="C5" s="7">
        <v>0</v>
      </c>
      <c r="D5">
        <v>3</v>
      </c>
      <c r="F5" s="1" t="s">
        <v>19</v>
      </c>
      <c r="G5" s="156">
        <v>11.3</v>
      </c>
      <c r="H5" s="157">
        <v>10.75</v>
      </c>
      <c r="I5">
        <v>50</v>
      </c>
    </row>
    <row r="6" spans="1:17" x14ac:dyDescent="0.25">
      <c r="A6" s="6" t="s">
        <v>3</v>
      </c>
      <c r="B6" s="156">
        <v>10.15</v>
      </c>
      <c r="C6" s="9">
        <v>9.65</v>
      </c>
      <c r="D6">
        <v>6</v>
      </c>
      <c r="E6" s="158"/>
      <c r="F6" s="1" t="s">
        <v>20</v>
      </c>
      <c r="G6" s="156">
        <v>12.3</v>
      </c>
      <c r="H6" s="157">
        <v>11.7</v>
      </c>
      <c r="I6">
        <v>100</v>
      </c>
      <c r="P6">
        <v>10.81</v>
      </c>
      <c r="Q6">
        <f>P6/B6</f>
        <v>1.065024630541872</v>
      </c>
    </row>
    <row r="7" spans="1:17" x14ac:dyDescent="0.25">
      <c r="A7" s="6" t="s">
        <v>4</v>
      </c>
      <c r="B7" s="156">
        <v>10.8</v>
      </c>
      <c r="C7" s="9">
        <v>10.3</v>
      </c>
      <c r="D7">
        <v>20</v>
      </c>
      <c r="E7" s="158"/>
      <c r="F7" s="1" t="s">
        <v>21</v>
      </c>
      <c r="G7" s="156">
        <v>13.85</v>
      </c>
      <c r="H7" s="157">
        <v>13.2</v>
      </c>
      <c r="I7">
        <v>150</v>
      </c>
    </row>
    <row r="8" spans="1:17" x14ac:dyDescent="0.25">
      <c r="A8" s="6" t="s">
        <v>5</v>
      </c>
      <c r="B8" s="156">
        <v>14.5</v>
      </c>
      <c r="C8" s="9">
        <v>13.8</v>
      </c>
      <c r="D8">
        <v>30</v>
      </c>
      <c r="E8" s="158"/>
      <c r="F8" s="1" t="s">
        <v>22</v>
      </c>
      <c r="G8" s="156">
        <v>16</v>
      </c>
      <c r="H8" s="157">
        <v>15.25</v>
      </c>
      <c r="I8">
        <v>200</v>
      </c>
    </row>
    <row r="9" spans="1:17" x14ac:dyDescent="0.25">
      <c r="A9" s="6" t="s">
        <v>6</v>
      </c>
      <c r="B9" s="156">
        <v>18.3</v>
      </c>
      <c r="C9" s="157">
        <v>17.399999999999999</v>
      </c>
      <c r="D9">
        <v>40</v>
      </c>
      <c r="E9" s="158"/>
      <c r="F9" s="1" t="s">
        <v>23</v>
      </c>
      <c r="G9" s="156">
        <v>20.399999999999999</v>
      </c>
      <c r="H9" s="157">
        <v>19.399999999999999</v>
      </c>
      <c r="I9">
        <v>300</v>
      </c>
    </row>
    <row r="10" spans="1:17" x14ac:dyDescent="0.25">
      <c r="A10" s="6" t="s">
        <v>7</v>
      </c>
      <c r="B10" s="156">
        <v>25.45</v>
      </c>
      <c r="C10" s="157">
        <v>24.25</v>
      </c>
      <c r="D10">
        <v>50</v>
      </c>
      <c r="E10" s="158"/>
      <c r="F10" s="1" t="s">
        <v>24</v>
      </c>
      <c r="G10" s="156">
        <v>21.2</v>
      </c>
      <c r="H10" s="157">
        <v>20.2</v>
      </c>
      <c r="I10">
        <v>400</v>
      </c>
    </row>
    <row r="11" spans="1:17" x14ac:dyDescent="0.25">
      <c r="A11" s="6" t="s">
        <v>8</v>
      </c>
      <c r="B11" s="156">
        <v>40.450000000000003</v>
      </c>
      <c r="C11" s="157">
        <v>38.5</v>
      </c>
      <c r="D11">
        <v>60</v>
      </c>
      <c r="E11" s="158"/>
      <c r="F11" s="1" t="s">
        <v>25</v>
      </c>
      <c r="G11" s="156">
        <v>28.25</v>
      </c>
      <c r="H11" s="157">
        <v>26.9</v>
      </c>
      <c r="I11">
        <v>500</v>
      </c>
    </row>
    <row r="12" spans="1:17" x14ac:dyDescent="0.25">
      <c r="A12" s="6" t="s">
        <v>9</v>
      </c>
      <c r="B12" s="156">
        <v>55.35</v>
      </c>
      <c r="C12" s="157">
        <v>52.7</v>
      </c>
      <c r="D12">
        <v>70</v>
      </c>
      <c r="E12" s="158"/>
      <c r="F12" s="1" t="s">
        <v>26</v>
      </c>
      <c r="G12" s="156">
        <v>41.8</v>
      </c>
      <c r="H12" s="157">
        <v>39.799999999999997</v>
      </c>
      <c r="I12">
        <v>3000</v>
      </c>
    </row>
    <row r="13" spans="1:17" x14ac:dyDescent="0.25">
      <c r="A13" s="6" t="s">
        <v>10</v>
      </c>
      <c r="B13" s="156">
        <v>71.900000000000006</v>
      </c>
      <c r="C13" s="157">
        <v>68.5</v>
      </c>
      <c r="D13">
        <v>10000</v>
      </c>
      <c r="E13" s="158"/>
      <c r="F13" s="1" t="s">
        <v>27</v>
      </c>
      <c r="G13" s="156">
        <v>48.25</v>
      </c>
      <c r="H13" s="157">
        <v>45.95</v>
      </c>
      <c r="I13">
        <v>1000000</v>
      </c>
    </row>
    <row r="14" spans="1:17" x14ac:dyDescent="0.25">
      <c r="B14" s="8">
        <v>0</v>
      </c>
      <c r="C14" s="10">
        <v>0</v>
      </c>
      <c r="D14">
        <v>0</v>
      </c>
      <c r="G14" s="11">
        <v>0</v>
      </c>
      <c r="H14" s="13">
        <v>0</v>
      </c>
      <c r="I14">
        <v>0</v>
      </c>
    </row>
    <row r="15" spans="1:17" ht="38.25" x14ac:dyDescent="0.25">
      <c r="A15" s="1" t="s">
        <v>12</v>
      </c>
      <c r="B15" s="8">
        <v>1</v>
      </c>
      <c r="C15" s="9">
        <v>40</v>
      </c>
      <c r="D15">
        <v>20</v>
      </c>
      <c r="F15" s="1" t="s">
        <v>29</v>
      </c>
      <c r="G15" s="8">
        <v>1</v>
      </c>
      <c r="H15" s="9">
        <v>100</v>
      </c>
      <c r="I15">
        <v>20</v>
      </c>
    </row>
    <row r="16" spans="1:17" ht="38.25" x14ac:dyDescent="0.25">
      <c r="A16" s="1" t="s">
        <v>13</v>
      </c>
      <c r="B16" s="8">
        <v>2</v>
      </c>
      <c r="C16" s="9">
        <v>40</v>
      </c>
      <c r="D16">
        <v>30</v>
      </c>
      <c r="F16" s="1" t="s">
        <v>30</v>
      </c>
      <c r="G16" s="8">
        <v>2</v>
      </c>
      <c r="H16" s="9">
        <v>100</v>
      </c>
      <c r="I16">
        <v>30</v>
      </c>
    </row>
    <row r="17" spans="1:9" ht="38.25" x14ac:dyDescent="0.25">
      <c r="A17" s="1" t="s">
        <v>15</v>
      </c>
      <c r="B17" s="8">
        <v>3</v>
      </c>
      <c r="C17" s="9">
        <v>20</v>
      </c>
      <c r="D17">
        <v>30</v>
      </c>
      <c r="F17" s="1" t="s">
        <v>31</v>
      </c>
      <c r="G17" s="8">
        <v>3</v>
      </c>
      <c r="H17" s="9">
        <v>50</v>
      </c>
      <c r="I17">
        <v>30</v>
      </c>
    </row>
    <row r="18" spans="1:9" ht="38.25" x14ac:dyDescent="0.25">
      <c r="A18" s="1" t="s">
        <v>14</v>
      </c>
      <c r="B18" s="8">
        <v>4</v>
      </c>
      <c r="C18" s="9">
        <v>20</v>
      </c>
      <c r="D18">
        <v>40</v>
      </c>
      <c r="F18" s="1" t="s">
        <v>32</v>
      </c>
      <c r="G18" s="8">
        <v>4</v>
      </c>
      <c r="H18" s="9">
        <v>50</v>
      </c>
      <c r="I18">
        <v>40</v>
      </c>
    </row>
    <row r="19" spans="1:9" x14ac:dyDescent="0.25">
      <c r="A19" s="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2115B-CEC5-455D-9260-AD74444625CA}">
  <dimension ref="A1:M4"/>
  <sheetViews>
    <sheetView workbookViewId="0">
      <selection activeCell="O4" sqref="O4:P4"/>
    </sheetView>
  </sheetViews>
  <sheetFormatPr defaultRowHeight="15" x14ac:dyDescent="0.25"/>
  <cols>
    <col min="1" max="1" width="21.42578125" customWidth="1"/>
    <col min="6" max="6" width="32.42578125" customWidth="1"/>
    <col min="11" max="11" width="38" customWidth="1"/>
  </cols>
  <sheetData>
    <row r="1" spans="1:13" x14ac:dyDescent="0.25">
      <c r="A1" t="s">
        <v>34</v>
      </c>
    </row>
    <row r="2" spans="1:13" x14ac:dyDescent="0.25">
      <c r="A2" t="s">
        <v>16</v>
      </c>
      <c r="B2">
        <v>2025</v>
      </c>
      <c r="C2">
        <v>2024</v>
      </c>
      <c r="F2" t="s">
        <v>28</v>
      </c>
      <c r="G2">
        <v>2025</v>
      </c>
      <c r="H2">
        <v>2024</v>
      </c>
      <c r="L2">
        <v>2025</v>
      </c>
      <c r="M2">
        <v>2024</v>
      </c>
    </row>
    <row r="3" spans="1:13" ht="60" x14ac:dyDescent="0.25">
      <c r="A3" s="8" t="s">
        <v>33</v>
      </c>
      <c r="B3" s="14">
        <v>245</v>
      </c>
      <c r="C3" s="15">
        <v>220</v>
      </c>
      <c r="F3" s="16" t="s">
        <v>35</v>
      </c>
      <c r="G3" s="14">
        <v>280</v>
      </c>
      <c r="H3" s="15">
        <v>255</v>
      </c>
      <c r="K3" s="24" t="s">
        <v>159</v>
      </c>
    </row>
    <row r="4" spans="1:13" ht="24" x14ac:dyDescent="0.25">
      <c r="F4" s="17" t="s">
        <v>36</v>
      </c>
      <c r="K4" t="s">
        <v>158</v>
      </c>
      <c r="L4">
        <v>245</v>
      </c>
      <c r="M4">
        <v>217.39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D2CA9-1F4A-4537-A342-1AF54017D5AB}">
  <dimension ref="A1:M16"/>
  <sheetViews>
    <sheetView workbookViewId="0">
      <selection activeCell="G15" sqref="G15"/>
    </sheetView>
  </sheetViews>
  <sheetFormatPr defaultRowHeight="15" x14ac:dyDescent="0.25"/>
  <cols>
    <col min="1" max="1" width="39.140625" customWidth="1"/>
    <col min="2" max="2" width="10.28515625" bestFit="1" customWidth="1"/>
    <col min="3" max="3" width="10.85546875" bestFit="1" customWidth="1"/>
    <col min="6" max="6" width="40.5703125" customWidth="1"/>
    <col min="7" max="7" width="10.5703125" customWidth="1"/>
    <col min="8" max="8" width="9.5703125" bestFit="1" customWidth="1"/>
    <col min="11" max="11" width="33.42578125" customWidth="1"/>
  </cols>
  <sheetData>
    <row r="1" spans="1:13" x14ac:dyDescent="0.25">
      <c r="A1" t="s">
        <v>45</v>
      </c>
    </row>
    <row r="2" spans="1:13" x14ac:dyDescent="0.25">
      <c r="A2" t="s">
        <v>16</v>
      </c>
      <c r="B2">
        <v>2025</v>
      </c>
      <c r="C2">
        <v>2024</v>
      </c>
      <c r="F2" t="s">
        <v>28</v>
      </c>
      <c r="G2">
        <v>2025</v>
      </c>
      <c r="H2">
        <v>2024</v>
      </c>
      <c r="K2" t="s">
        <v>157</v>
      </c>
      <c r="L2">
        <v>2025</v>
      </c>
      <c r="M2">
        <v>2024</v>
      </c>
    </row>
    <row r="3" spans="1:13" ht="90" x14ac:dyDescent="0.25">
      <c r="A3" s="27" t="s">
        <v>49</v>
      </c>
      <c r="B3" s="19"/>
      <c r="C3" s="28"/>
      <c r="F3" s="24" t="s">
        <v>46</v>
      </c>
      <c r="G3" s="5"/>
      <c r="H3" s="5"/>
      <c r="K3" s="24" t="s">
        <v>156</v>
      </c>
    </row>
    <row r="4" spans="1:13" ht="24" x14ac:dyDescent="0.25">
      <c r="A4" s="17" t="s">
        <v>50</v>
      </c>
      <c r="B4" s="29">
        <v>209</v>
      </c>
      <c r="C4" s="30">
        <v>195</v>
      </c>
      <c r="F4" s="9" t="s">
        <v>47</v>
      </c>
      <c r="G4" s="25">
        <v>262</v>
      </c>
      <c r="H4" s="26">
        <v>245</v>
      </c>
      <c r="K4" t="s">
        <v>158</v>
      </c>
      <c r="L4">
        <v>245</v>
      </c>
      <c r="M4">
        <v>220</v>
      </c>
    </row>
    <row r="5" spans="1:13" x14ac:dyDescent="0.25">
      <c r="F5" s="9" t="s">
        <v>48</v>
      </c>
      <c r="G5" s="25">
        <v>118</v>
      </c>
      <c r="H5" s="26">
        <v>110</v>
      </c>
    </row>
    <row r="6" spans="1:13" x14ac:dyDescent="0.25">
      <c r="K6" t="s">
        <v>160</v>
      </c>
    </row>
    <row r="7" spans="1:13" ht="60" x14ac:dyDescent="0.25">
      <c r="K7" s="24" t="s">
        <v>161</v>
      </c>
    </row>
    <row r="8" spans="1:13" x14ac:dyDescent="0.25">
      <c r="K8" t="s">
        <v>162</v>
      </c>
      <c r="L8">
        <v>65</v>
      </c>
      <c r="M8">
        <v>60</v>
      </c>
    </row>
    <row r="9" spans="1:13" ht="25.5" x14ac:dyDescent="0.25">
      <c r="A9" s="18" t="s">
        <v>37</v>
      </c>
      <c r="B9" s="5"/>
      <c r="C9" s="19"/>
    </row>
    <row r="10" spans="1:13" x14ac:dyDescent="0.25">
      <c r="A10" s="9" t="s">
        <v>38</v>
      </c>
      <c r="B10" s="20">
        <v>648</v>
      </c>
      <c r="C10" s="21">
        <v>605</v>
      </c>
    </row>
    <row r="11" spans="1:13" x14ac:dyDescent="0.25">
      <c r="A11" s="9" t="s">
        <v>39</v>
      </c>
      <c r="B11" s="22">
        <v>1134</v>
      </c>
      <c r="C11" s="19">
        <v>1060</v>
      </c>
    </row>
    <row r="12" spans="1:13" x14ac:dyDescent="0.25">
      <c r="A12" s="23" t="s">
        <v>40</v>
      </c>
      <c r="B12" s="5"/>
      <c r="C12" s="5"/>
    </row>
    <row r="13" spans="1:13" x14ac:dyDescent="0.25">
      <c r="A13" s="8" t="s">
        <v>41</v>
      </c>
      <c r="B13" s="14">
        <v>1134</v>
      </c>
      <c r="C13" s="5">
        <v>1060</v>
      </c>
    </row>
    <row r="14" spans="1:13" x14ac:dyDescent="0.25">
      <c r="A14" s="8" t="s">
        <v>42</v>
      </c>
      <c r="B14" s="14">
        <v>1701</v>
      </c>
      <c r="C14" s="5">
        <v>1590</v>
      </c>
    </row>
    <row r="15" spans="1:13" x14ac:dyDescent="0.25">
      <c r="A15" s="8" t="s">
        <v>43</v>
      </c>
      <c r="B15" s="14">
        <v>1846</v>
      </c>
      <c r="C15" s="5">
        <v>1725</v>
      </c>
      <c r="F15" s="161">
        <v>1207.71</v>
      </c>
      <c r="G15" s="160">
        <f>F15/B11</f>
        <v>1.0649999999999999</v>
      </c>
    </row>
    <row r="16" spans="1:13" x14ac:dyDescent="0.25">
      <c r="A16" s="8" t="s">
        <v>44</v>
      </c>
      <c r="B16" s="14">
        <v>2579</v>
      </c>
      <c r="C16" s="5">
        <v>2410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079FC-8BB1-428C-847A-7CDF394833BC}">
  <dimension ref="A1:O50"/>
  <sheetViews>
    <sheetView tabSelected="1" workbookViewId="0">
      <selection activeCell="B7" sqref="B7"/>
    </sheetView>
  </sheetViews>
  <sheetFormatPr defaultRowHeight="15" x14ac:dyDescent="0.25"/>
  <cols>
    <col min="1" max="1" width="39.140625" style="31" customWidth="1"/>
    <col min="6" max="6" width="36.28515625" style="31" customWidth="1"/>
    <col min="11" max="11" width="9.140625" style="31"/>
  </cols>
  <sheetData>
    <row r="1" spans="1:15" x14ac:dyDescent="0.25">
      <c r="A1" s="31" t="s">
        <v>51</v>
      </c>
      <c r="B1">
        <v>2025</v>
      </c>
      <c r="C1">
        <v>2024</v>
      </c>
      <c r="G1">
        <v>2025</v>
      </c>
      <c r="H1">
        <v>2024</v>
      </c>
      <c r="L1">
        <v>2025</v>
      </c>
      <c r="M1">
        <v>2024</v>
      </c>
    </row>
    <row r="2" spans="1:15" x14ac:dyDescent="0.25">
      <c r="A2" s="31" t="s">
        <v>16</v>
      </c>
      <c r="F2" s="31" t="s">
        <v>28</v>
      </c>
      <c r="K2" s="31" t="s">
        <v>77</v>
      </c>
    </row>
    <row r="3" spans="1:15" ht="39" customHeight="1" x14ac:dyDescent="0.25">
      <c r="A3" s="31" t="s">
        <v>53</v>
      </c>
      <c r="F3" s="31" t="s">
        <v>52</v>
      </c>
      <c r="K3" s="31" t="s">
        <v>75</v>
      </c>
    </row>
    <row r="4" spans="1:15" ht="15.75" customHeight="1" x14ac:dyDescent="0.25">
      <c r="A4" s="31" t="s">
        <v>54</v>
      </c>
      <c r="F4" s="31" t="s">
        <v>81</v>
      </c>
      <c r="G4">
        <v>18.37</v>
      </c>
      <c r="H4">
        <v>16.29</v>
      </c>
      <c r="J4" s="158">
        <f>G4/H4-1</f>
        <v>0.12768569674647035</v>
      </c>
      <c r="K4" s="31" t="s">
        <v>76</v>
      </c>
      <c r="L4">
        <v>260</v>
      </c>
      <c r="M4">
        <v>228.5</v>
      </c>
      <c r="O4" s="158">
        <f>L4/M4-1</f>
        <v>0.13785557986870889</v>
      </c>
    </row>
    <row r="5" spans="1:15" ht="15.75" customHeight="1" x14ac:dyDescent="0.25">
      <c r="A5" s="31" t="s">
        <v>55</v>
      </c>
      <c r="B5">
        <v>1.7548999999999999</v>
      </c>
      <c r="C5">
        <v>1.5566</v>
      </c>
      <c r="E5" s="158">
        <f>B5/C5-1</f>
        <v>0.12739303610432984</v>
      </c>
      <c r="F5" s="31" t="s">
        <v>82</v>
      </c>
      <c r="G5">
        <v>2.9247000000000001</v>
      </c>
      <c r="H5">
        <v>2.5941999999999998</v>
      </c>
      <c r="J5" s="158">
        <f t="shared" ref="J5:J13" si="0">G5/H5-1</f>
        <v>0.12739958368668569</v>
      </c>
    </row>
    <row r="6" spans="1:15" ht="15.75" customHeight="1" x14ac:dyDescent="0.25">
      <c r="A6" s="31" t="s">
        <v>56</v>
      </c>
      <c r="B6">
        <v>2.2545000000000002</v>
      </c>
      <c r="C6">
        <v>1.9997</v>
      </c>
      <c r="E6" s="158">
        <f t="shared" ref="E6:E50" si="1">B6/C6-1</f>
        <v>0.1274191128669302</v>
      </c>
      <c r="F6" s="31" t="s">
        <v>83</v>
      </c>
      <c r="G6">
        <v>50.75</v>
      </c>
      <c r="H6">
        <v>45.01</v>
      </c>
      <c r="J6" s="158">
        <f t="shared" si="0"/>
        <v>0.12752721617418361</v>
      </c>
    </row>
    <row r="7" spans="1:15" ht="15.75" customHeight="1" x14ac:dyDescent="0.25">
      <c r="A7" s="31" t="s">
        <v>57</v>
      </c>
      <c r="B7">
        <v>3.1756000000000002</v>
      </c>
      <c r="C7">
        <v>2.8167</v>
      </c>
      <c r="E7" s="158">
        <f t="shared" si="1"/>
        <v>0.12741861043064584</v>
      </c>
      <c r="F7" s="31" t="s">
        <v>84</v>
      </c>
      <c r="G7">
        <v>2.9748000000000001</v>
      </c>
      <c r="H7">
        <v>2.6385999999999998</v>
      </c>
      <c r="J7" s="158">
        <f t="shared" si="0"/>
        <v>0.12741605396801337</v>
      </c>
    </row>
    <row r="8" spans="1:15" ht="15.75" customHeight="1" x14ac:dyDescent="0.25">
      <c r="A8" s="31" t="s">
        <v>58</v>
      </c>
      <c r="B8">
        <v>3.7566000000000002</v>
      </c>
      <c r="C8">
        <v>3.3321000000000001</v>
      </c>
      <c r="E8" s="158">
        <f t="shared" si="1"/>
        <v>0.12739713694066812</v>
      </c>
      <c r="F8" s="31" t="s">
        <v>85</v>
      </c>
      <c r="G8">
        <v>3.6322000000000001</v>
      </c>
      <c r="H8">
        <v>3.2216999999999998</v>
      </c>
      <c r="J8" s="158">
        <f t="shared" si="0"/>
        <v>0.12741720209827112</v>
      </c>
    </row>
    <row r="9" spans="1:15" ht="60" x14ac:dyDescent="0.25">
      <c r="A9" s="31" t="s">
        <v>59</v>
      </c>
      <c r="E9" s="158" t="e">
        <f t="shared" si="1"/>
        <v>#DIV/0!</v>
      </c>
      <c r="J9" s="158" t="e">
        <f t="shared" si="0"/>
        <v>#DIV/0!</v>
      </c>
    </row>
    <row r="10" spans="1:15" ht="15.75" customHeight="1" x14ac:dyDescent="0.25">
      <c r="A10" s="31" t="s">
        <v>60</v>
      </c>
      <c r="E10" s="158" t="e">
        <f t="shared" si="1"/>
        <v>#DIV/0!</v>
      </c>
      <c r="F10" s="31" t="s">
        <v>86</v>
      </c>
      <c r="J10" s="158" t="e">
        <f t="shared" si="0"/>
        <v>#DIV/0!</v>
      </c>
    </row>
    <row r="11" spans="1:15" ht="15.75" customHeight="1" x14ac:dyDescent="0.25">
      <c r="A11" s="31" t="s">
        <v>61</v>
      </c>
      <c r="B11">
        <v>12.33</v>
      </c>
      <c r="C11">
        <v>10.93</v>
      </c>
      <c r="D11" t="s">
        <v>181</v>
      </c>
      <c r="E11" s="158">
        <f t="shared" si="1"/>
        <v>0.1280878316559928</v>
      </c>
      <c r="F11" s="31" t="s">
        <v>87</v>
      </c>
      <c r="G11">
        <v>18.37</v>
      </c>
      <c r="H11">
        <v>16.29</v>
      </c>
      <c r="J11" s="158">
        <f t="shared" si="0"/>
        <v>0.12768569674647035</v>
      </c>
    </row>
    <row r="12" spans="1:15" ht="15.75" customHeight="1" x14ac:dyDescent="0.25">
      <c r="A12" s="31" t="s">
        <v>62</v>
      </c>
      <c r="B12">
        <v>33.89</v>
      </c>
      <c r="C12">
        <v>30.06</v>
      </c>
      <c r="E12" s="158">
        <f t="shared" si="1"/>
        <v>0.1274118429807054</v>
      </c>
      <c r="F12" s="31" t="s">
        <v>88</v>
      </c>
      <c r="G12">
        <v>50.75</v>
      </c>
      <c r="H12">
        <v>45.01</v>
      </c>
      <c r="J12" s="158">
        <f t="shared" si="0"/>
        <v>0.12752721617418361</v>
      </c>
    </row>
    <row r="13" spans="1:15" ht="15.75" customHeight="1" x14ac:dyDescent="0.25">
      <c r="E13" s="158" t="e">
        <f t="shared" si="1"/>
        <v>#DIV/0!</v>
      </c>
      <c r="F13" s="31" t="s">
        <v>89</v>
      </c>
      <c r="G13">
        <v>2.9748000000000001</v>
      </c>
      <c r="H13">
        <v>2.6385999999999998</v>
      </c>
      <c r="J13" s="158">
        <f t="shared" si="0"/>
        <v>0.12741605396801337</v>
      </c>
    </row>
    <row r="14" spans="1:15" ht="30" x14ac:dyDescent="0.25">
      <c r="A14" s="31" t="s">
        <v>63</v>
      </c>
      <c r="E14" s="158" t="e">
        <f t="shared" si="1"/>
        <v>#DIV/0!</v>
      </c>
    </row>
    <row r="15" spans="1:15" x14ac:dyDescent="0.25">
      <c r="A15" s="31" t="s">
        <v>55</v>
      </c>
      <c r="B15">
        <v>1.7548999999999999</v>
      </c>
      <c r="C15">
        <v>1.5566</v>
      </c>
      <c r="D15">
        <v>50</v>
      </c>
      <c r="E15" s="158">
        <f t="shared" si="1"/>
        <v>0.12739303610432984</v>
      </c>
    </row>
    <row r="16" spans="1:15" x14ac:dyDescent="0.25">
      <c r="A16" s="31" t="s">
        <v>56</v>
      </c>
      <c r="B16">
        <v>2.2561</v>
      </c>
      <c r="C16">
        <v>2.0011999999999999</v>
      </c>
      <c r="D16">
        <v>350</v>
      </c>
      <c r="E16" s="158">
        <f t="shared" si="1"/>
        <v>0.12737357585448739</v>
      </c>
    </row>
    <row r="17" spans="1:5" x14ac:dyDescent="0.25">
      <c r="A17" s="31" t="s">
        <v>57</v>
      </c>
      <c r="B17">
        <v>3.1758999999999999</v>
      </c>
      <c r="C17">
        <v>2.8170000000000002</v>
      </c>
      <c r="D17">
        <v>600</v>
      </c>
      <c r="E17" s="158">
        <f t="shared" si="1"/>
        <v>0.12740504082357118</v>
      </c>
    </row>
    <row r="18" spans="1:5" x14ac:dyDescent="0.25">
      <c r="A18" s="31" t="s">
        <v>58</v>
      </c>
      <c r="B18">
        <v>3.7568000000000001</v>
      </c>
      <c r="C18">
        <v>3.3323</v>
      </c>
      <c r="D18">
        <v>100000</v>
      </c>
      <c r="E18" s="158">
        <f t="shared" si="1"/>
        <v>0.12738949074213002</v>
      </c>
    </row>
    <row r="19" spans="1:5" x14ac:dyDescent="0.25">
      <c r="E19" s="158" t="e">
        <f t="shared" si="1"/>
        <v>#DIV/0!</v>
      </c>
    </row>
    <row r="20" spans="1:5" ht="45" x14ac:dyDescent="0.25">
      <c r="A20" s="31" t="s">
        <v>64</v>
      </c>
      <c r="E20" s="158" t="e">
        <f t="shared" si="1"/>
        <v>#DIV/0!</v>
      </c>
    </row>
    <row r="21" spans="1:5" ht="30" x14ac:dyDescent="0.25">
      <c r="A21" s="31" t="s">
        <v>65</v>
      </c>
      <c r="E21" s="158" t="e">
        <f t="shared" si="1"/>
        <v>#DIV/0!</v>
      </c>
    </row>
    <row r="22" spans="1:5" x14ac:dyDescent="0.25">
      <c r="A22" s="31" t="s">
        <v>55</v>
      </c>
      <c r="B22">
        <v>1.7548999999999999</v>
      </c>
      <c r="C22">
        <v>1.5566</v>
      </c>
      <c r="D22">
        <v>50</v>
      </c>
      <c r="E22" s="158">
        <f t="shared" si="1"/>
        <v>0.12739303610432984</v>
      </c>
    </row>
    <row r="23" spans="1:5" x14ac:dyDescent="0.25">
      <c r="A23" s="31" t="s">
        <v>56</v>
      </c>
      <c r="B23">
        <v>2.2545000000000002</v>
      </c>
      <c r="C23">
        <v>1.9997</v>
      </c>
      <c r="D23">
        <v>350</v>
      </c>
      <c r="E23" s="158">
        <f t="shared" si="1"/>
        <v>0.1274191128669302</v>
      </c>
    </row>
    <row r="24" spans="1:5" x14ac:dyDescent="0.25">
      <c r="A24" s="31" t="s">
        <v>57</v>
      </c>
      <c r="B24">
        <v>3.1756000000000002</v>
      </c>
      <c r="C24">
        <v>2.8167</v>
      </c>
      <c r="D24">
        <v>600</v>
      </c>
      <c r="E24" s="158">
        <f t="shared" si="1"/>
        <v>0.12741861043064584</v>
      </c>
    </row>
    <row r="25" spans="1:5" x14ac:dyDescent="0.25">
      <c r="A25" s="31" t="s">
        <v>58</v>
      </c>
      <c r="B25">
        <v>3.7566000000000002</v>
      </c>
      <c r="C25">
        <v>3.3321000000000001</v>
      </c>
      <c r="D25">
        <v>100000</v>
      </c>
      <c r="E25" s="158">
        <f t="shared" si="1"/>
        <v>0.12739713694066812</v>
      </c>
    </row>
    <row r="26" spans="1:5" ht="60" x14ac:dyDescent="0.25">
      <c r="A26" s="31" t="s">
        <v>66</v>
      </c>
      <c r="E26" s="158" t="e">
        <f t="shared" si="1"/>
        <v>#DIV/0!</v>
      </c>
    </row>
    <row r="27" spans="1:5" ht="30" x14ac:dyDescent="0.25">
      <c r="A27" s="31" t="s">
        <v>67</v>
      </c>
      <c r="E27" s="158" t="e">
        <f t="shared" si="1"/>
        <v>#DIV/0!</v>
      </c>
    </row>
    <row r="28" spans="1:5" x14ac:dyDescent="0.25">
      <c r="E28" s="158" t="e">
        <f t="shared" si="1"/>
        <v>#DIV/0!</v>
      </c>
    </row>
    <row r="29" spans="1:5" ht="30" x14ac:dyDescent="0.25">
      <c r="A29" s="31" t="s">
        <v>65</v>
      </c>
      <c r="E29" s="158" t="e">
        <f t="shared" si="1"/>
        <v>#DIV/0!</v>
      </c>
    </row>
    <row r="30" spans="1:5" x14ac:dyDescent="0.25">
      <c r="A30" s="31" t="s">
        <v>55</v>
      </c>
      <c r="B30">
        <v>1.8813</v>
      </c>
      <c r="C30">
        <v>1.6687000000000001</v>
      </c>
      <c r="D30">
        <v>50</v>
      </c>
      <c r="E30" s="158">
        <f t="shared" si="1"/>
        <v>0.1274045664289567</v>
      </c>
    </row>
    <row r="31" spans="1:5" x14ac:dyDescent="0.25">
      <c r="A31" s="31" t="s">
        <v>56</v>
      </c>
      <c r="B31">
        <v>2.3984000000000001</v>
      </c>
      <c r="C31">
        <v>2.1274000000000002</v>
      </c>
      <c r="D31">
        <v>350</v>
      </c>
      <c r="E31" s="158">
        <f t="shared" si="1"/>
        <v>0.1273855410360063</v>
      </c>
    </row>
    <row r="32" spans="1:5" x14ac:dyDescent="0.25">
      <c r="A32" s="31" t="s">
        <v>57</v>
      </c>
      <c r="B32">
        <v>3.3763999999999998</v>
      </c>
      <c r="C32">
        <v>2.9948999999999999</v>
      </c>
      <c r="D32">
        <v>600</v>
      </c>
      <c r="E32" s="158">
        <f t="shared" si="1"/>
        <v>0.12738321813750031</v>
      </c>
    </row>
    <row r="33" spans="1:5" x14ac:dyDescent="0.25">
      <c r="A33" s="31" t="s">
        <v>58</v>
      </c>
      <c r="B33">
        <v>3.8651</v>
      </c>
      <c r="C33">
        <v>3.4283000000000001</v>
      </c>
      <c r="D33">
        <v>100000</v>
      </c>
      <c r="E33" s="158">
        <f t="shared" si="1"/>
        <v>0.12741008663185838</v>
      </c>
    </row>
    <row r="34" spans="1:5" ht="90" x14ac:dyDescent="0.25">
      <c r="A34" s="31" t="s">
        <v>68</v>
      </c>
      <c r="C34" t="s">
        <v>72</v>
      </c>
      <c r="E34" s="158" t="e">
        <f t="shared" si="1"/>
        <v>#VALUE!</v>
      </c>
    </row>
    <row r="35" spans="1:5" ht="60" x14ac:dyDescent="0.25">
      <c r="A35" s="31" t="s">
        <v>69</v>
      </c>
      <c r="C35" t="s">
        <v>72</v>
      </c>
      <c r="E35" s="158" t="e">
        <f t="shared" si="1"/>
        <v>#VALUE!</v>
      </c>
    </row>
    <row r="36" spans="1:5" x14ac:dyDescent="0.25">
      <c r="A36" s="31" t="s">
        <v>70</v>
      </c>
      <c r="B36">
        <v>12.33</v>
      </c>
      <c r="C36">
        <v>10.93</v>
      </c>
      <c r="E36" s="158">
        <f t="shared" si="1"/>
        <v>0.1280878316559928</v>
      </c>
    </row>
    <row r="37" spans="1:5" x14ac:dyDescent="0.25">
      <c r="A37" s="31" t="s">
        <v>71</v>
      </c>
      <c r="B37">
        <v>33.89</v>
      </c>
      <c r="C37">
        <v>30.06</v>
      </c>
      <c r="E37" s="158">
        <f t="shared" si="1"/>
        <v>0.1274118429807054</v>
      </c>
    </row>
    <row r="38" spans="1:5" x14ac:dyDescent="0.25">
      <c r="A38" s="31" t="s">
        <v>73</v>
      </c>
      <c r="E38" s="158" t="e">
        <f t="shared" si="1"/>
        <v>#DIV/0!</v>
      </c>
    </row>
    <row r="39" spans="1:5" x14ac:dyDescent="0.25">
      <c r="A39" s="31" t="s">
        <v>55</v>
      </c>
      <c r="B39">
        <v>1.7548999999999999</v>
      </c>
      <c r="C39">
        <v>1.5566</v>
      </c>
      <c r="E39" s="158">
        <f t="shared" si="1"/>
        <v>0.12739303610432984</v>
      </c>
    </row>
    <row r="40" spans="1:5" x14ac:dyDescent="0.25">
      <c r="A40" s="31" t="s">
        <v>56</v>
      </c>
      <c r="B40">
        <v>2.2545000000000002</v>
      </c>
      <c r="C40">
        <v>1.9997</v>
      </c>
      <c r="E40" s="158">
        <f t="shared" si="1"/>
        <v>0.1274191128669302</v>
      </c>
    </row>
    <row r="41" spans="1:5" x14ac:dyDescent="0.25">
      <c r="A41" s="31" t="s">
        <v>57</v>
      </c>
      <c r="B41">
        <v>3.1756000000000002</v>
      </c>
      <c r="C41">
        <v>2.8167</v>
      </c>
      <c r="E41" s="158">
        <f t="shared" si="1"/>
        <v>0.12741861043064584</v>
      </c>
    </row>
    <row r="42" spans="1:5" x14ac:dyDescent="0.25">
      <c r="A42" s="31" t="s">
        <v>58</v>
      </c>
      <c r="B42">
        <v>3.7566000000000002</v>
      </c>
      <c r="C42">
        <v>3.3321000000000001</v>
      </c>
      <c r="E42" s="158">
        <f t="shared" si="1"/>
        <v>0.12739713694066812</v>
      </c>
    </row>
    <row r="43" spans="1:5" ht="195" x14ac:dyDescent="0.25">
      <c r="A43" s="31" t="s">
        <v>74</v>
      </c>
      <c r="E43" s="158" t="e">
        <f t="shared" si="1"/>
        <v>#DIV/0!</v>
      </c>
    </row>
    <row r="44" spans="1:5" x14ac:dyDescent="0.25">
      <c r="E44" s="158" t="e">
        <f t="shared" si="1"/>
        <v>#DIV/0!</v>
      </c>
    </row>
    <row r="45" spans="1:5" ht="30" x14ac:dyDescent="0.25">
      <c r="A45" s="31" t="s">
        <v>150</v>
      </c>
      <c r="E45" s="158" t="e">
        <f t="shared" si="1"/>
        <v>#DIV/0!</v>
      </c>
    </row>
    <row r="46" spans="1:5" ht="60" x14ac:dyDescent="0.25">
      <c r="A46" s="31" t="s">
        <v>151</v>
      </c>
      <c r="C46">
        <v>542.27</v>
      </c>
      <c r="E46" s="158">
        <f t="shared" si="1"/>
        <v>-1</v>
      </c>
    </row>
    <row r="47" spans="1:5" x14ac:dyDescent="0.25">
      <c r="A47" s="31" t="s">
        <v>152</v>
      </c>
      <c r="B47">
        <v>289.20999999999998</v>
      </c>
      <c r="E47" s="158" t="e">
        <f t="shared" si="1"/>
        <v>#DIV/0!</v>
      </c>
    </row>
    <row r="48" spans="1:5" x14ac:dyDescent="0.25">
      <c r="A48" s="31" t="s">
        <v>153</v>
      </c>
      <c r="B48">
        <v>478.69</v>
      </c>
      <c r="E48" s="158" t="e">
        <f t="shared" si="1"/>
        <v>#DIV/0!</v>
      </c>
    </row>
    <row r="49" spans="1:5" x14ac:dyDescent="0.25">
      <c r="A49" s="31" t="s">
        <v>154</v>
      </c>
      <c r="B49">
        <v>765.91</v>
      </c>
      <c r="E49" s="158" t="e">
        <f t="shared" si="1"/>
        <v>#DIV/0!</v>
      </c>
    </row>
    <row r="50" spans="1:5" x14ac:dyDescent="0.25">
      <c r="A50" s="31" t="s">
        <v>155</v>
      </c>
      <c r="B50">
        <v>1.23416145</v>
      </c>
      <c r="C50">
        <v>1.1643030325999999</v>
      </c>
      <c r="E50" s="158">
        <f t="shared" si="1"/>
        <v>6.0000202218832621E-2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46B08-6AB0-45F4-AF8A-5FE03860DCB1}">
  <dimension ref="A1:G12"/>
  <sheetViews>
    <sheetView workbookViewId="0">
      <selection activeCell="G3" sqref="G3"/>
    </sheetView>
  </sheetViews>
  <sheetFormatPr defaultRowHeight="15" x14ac:dyDescent="0.25"/>
  <cols>
    <col min="1" max="1" width="24.140625" customWidth="1"/>
    <col min="2" max="2" width="21" customWidth="1"/>
  </cols>
  <sheetData>
    <row r="1" spans="1:7" x14ac:dyDescent="0.25">
      <c r="A1" t="s">
        <v>103</v>
      </c>
      <c r="B1" t="s">
        <v>90</v>
      </c>
      <c r="C1" t="s">
        <v>109</v>
      </c>
      <c r="D1" t="s">
        <v>110</v>
      </c>
      <c r="E1" t="s">
        <v>111</v>
      </c>
      <c r="F1" t="s">
        <v>116</v>
      </c>
      <c r="G1" t="s">
        <v>141</v>
      </c>
    </row>
    <row r="2" spans="1:7" x14ac:dyDescent="0.25">
      <c r="A2" t="s">
        <v>16</v>
      </c>
      <c r="B2" t="s">
        <v>107</v>
      </c>
      <c r="C2" t="s">
        <v>93</v>
      </c>
      <c r="D2">
        <v>1</v>
      </c>
      <c r="E2" t="s">
        <v>112</v>
      </c>
      <c r="F2">
        <v>0</v>
      </c>
      <c r="G2" t="s">
        <v>171</v>
      </c>
    </row>
    <row r="3" spans="1:7" x14ac:dyDescent="0.25">
      <c r="A3" t="s">
        <v>104</v>
      </c>
      <c r="B3" t="s">
        <v>91</v>
      </c>
      <c r="C3" t="s">
        <v>92</v>
      </c>
      <c r="D3">
        <v>2</v>
      </c>
      <c r="E3" t="s">
        <v>113</v>
      </c>
      <c r="F3">
        <v>1</v>
      </c>
      <c r="G3" t="s">
        <v>142</v>
      </c>
    </row>
    <row r="4" spans="1:7" x14ac:dyDescent="0.25">
      <c r="A4" t="s">
        <v>105</v>
      </c>
      <c r="B4" t="s">
        <v>108</v>
      </c>
      <c r="D4">
        <v>3</v>
      </c>
      <c r="F4">
        <v>2</v>
      </c>
      <c r="G4" t="s">
        <v>143</v>
      </c>
    </row>
    <row r="5" spans="1:7" x14ac:dyDescent="0.25">
      <c r="A5" t="s">
        <v>106</v>
      </c>
      <c r="D5">
        <v>4</v>
      </c>
      <c r="F5">
        <v>3</v>
      </c>
    </row>
    <row r="6" spans="1:7" x14ac:dyDescent="0.25">
      <c r="D6">
        <v>5</v>
      </c>
      <c r="F6">
        <v>4</v>
      </c>
    </row>
    <row r="7" spans="1:7" x14ac:dyDescent="0.25">
      <c r="D7">
        <v>6</v>
      </c>
      <c r="F7">
        <v>5</v>
      </c>
    </row>
    <row r="8" spans="1:7" x14ac:dyDescent="0.25">
      <c r="D8">
        <v>7</v>
      </c>
      <c r="F8">
        <v>6</v>
      </c>
    </row>
    <row r="9" spans="1:7" x14ac:dyDescent="0.25">
      <c r="D9">
        <v>8</v>
      </c>
      <c r="F9">
        <v>7</v>
      </c>
    </row>
    <row r="10" spans="1:7" x14ac:dyDescent="0.25">
      <c r="D10">
        <v>9</v>
      </c>
      <c r="F10">
        <v>8</v>
      </c>
    </row>
    <row r="11" spans="1:7" x14ac:dyDescent="0.25">
      <c r="D11">
        <v>10</v>
      </c>
      <c r="F11">
        <v>9</v>
      </c>
    </row>
    <row r="12" spans="1:7" x14ac:dyDescent="0.25">
      <c r="F12">
        <v>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Tariff</vt:lpstr>
      <vt:lpstr>Increases</vt:lpstr>
      <vt:lpstr>Valution</vt:lpstr>
      <vt:lpstr>Water</vt:lpstr>
      <vt:lpstr>Refuse</vt:lpstr>
      <vt:lpstr>Sewerage</vt:lpstr>
      <vt:lpstr>Electricity</vt:lpstr>
      <vt:lpstr>Lookup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 Poulter</dc:creator>
  <cp:lastModifiedBy>Kevin Poulter</cp:lastModifiedBy>
  <dcterms:created xsi:type="dcterms:W3CDTF">2024-04-11T06:38:26Z</dcterms:created>
  <dcterms:modified xsi:type="dcterms:W3CDTF">2025-04-09T01:48:34Z</dcterms:modified>
</cp:coreProperties>
</file>